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내역서" sheetId="1" r:id="rId1"/>
    <sheet name="일위대가목록" sheetId="2" r:id="rId2"/>
    <sheet name="일위대가_호표" sheetId="3" r:id="rId3"/>
    <sheet name="일위대가_산근" sheetId="4" r:id="rId4"/>
    <sheet name="중기사용료목록" sheetId="5" r:id="rId5"/>
    <sheet name="중기사용료" sheetId="6" r:id="rId6"/>
    <sheet name="중기기초자료" sheetId="7" r:id="rId7"/>
    <sheet name="자재" sheetId="8" r:id="rId8"/>
    <sheet name="노임" sheetId="9" r:id="rId9"/>
    <sheet name="경비" sheetId="10" r:id="rId10"/>
    <sheet name="자재조서" sheetId="11" r:id="rId11"/>
    <sheet name="전역변수" sheetId="12" r:id="rId12"/>
    <sheet name="중기전역변수" sheetId="13" r:id="rId13"/>
    <sheet name="Sheet3" sheetId="14" r:id="rId14"/>
  </sheets>
  <definedNames>
    <definedName name="_xlnm.Print_Titles" localSheetId="9">'경비'!$1:$2</definedName>
    <definedName name="_xlnm.Print_Titles" localSheetId="0">'내역서'!$1:$4</definedName>
    <definedName name="_xlnm.Print_Titles" localSheetId="8">'노임'!$1:$2</definedName>
    <definedName name="_xlnm.Print_Titles" localSheetId="3">'일위대가_산근'!$1:$2</definedName>
    <definedName name="_xlnm.Print_Titles" localSheetId="2">'일위대가_호표'!$1:$3</definedName>
    <definedName name="_xlnm.Print_Titles" localSheetId="1">'일위대가목록'!$1:$2</definedName>
    <definedName name="_xlnm.Print_Titles" localSheetId="7">'자재'!$1:$2</definedName>
    <definedName name="_xlnm.Print_Titles" localSheetId="10">'자재조서'!$1:$3</definedName>
    <definedName name="_xlnm.Print_Titles" localSheetId="11">'전역변수'!$1:$2</definedName>
    <definedName name="_xlnm.Print_Titles" localSheetId="6">'중기기초자료'!$1:$2</definedName>
    <definedName name="_xlnm.Print_Titles" localSheetId="4">'중기사용료목록'!$1:$2</definedName>
    <definedName name="_xlnm.Print_Titles" localSheetId="12">'중기전역변수'!$1:$2</definedName>
  </definedNames>
  <calcPr fullCalcOnLoad="1"/>
</workbook>
</file>

<file path=xl/sharedStrings.xml><?xml version="1.0" encoding="utf-8"?>
<sst xmlns="http://schemas.openxmlformats.org/spreadsheetml/2006/main" count="5390" uniqueCount="1299">
  <si>
    <t xml:space="preserve">     3.4. 건 강 보 험 료</t>
  </si>
  <si>
    <t>'노무비:'~E0002010020.L~ / Q * {A} = ?LA</t>
  </si>
  <si>
    <t>.A=0.5</t>
  </si>
  <si>
    <t>No.17 시멘트벽돌쌓기</t>
  </si>
  <si>
    <t>0.2 M3</t>
  </si>
  <si>
    <t>5개소</t>
  </si>
  <si>
    <t>M001310</t>
  </si>
  <si>
    <t xml:space="preserve"> ▶  공통품셈 6-1-2  현장비빔 타설 ( 인력비빔- 무근 - 진동기 제외)</t>
  </si>
  <si>
    <t>트럭탑제형 크레인   5 TON</t>
  </si>
  <si>
    <t>M7212106</t>
  </si>
  <si>
    <t>QEQTY2</t>
  </si>
  <si>
    <t>(SANG + JUNG + KWAN)*10^-4</t>
  </si>
  <si>
    <t>일위대가_호표</t>
  </si>
  <si>
    <t>물탱크</t>
  </si>
  <si>
    <t>L087</t>
  </si>
  <si>
    <t xml:space="preserve">   소  계 :</t>
  </si>
  <si>
    <t>MZA50000</t>
  </si>
  <si>
    <t>MZA50000</t>
  </si>
  <si>
    <t>&gt;&gt;&gt;'  합  계 :'</t>
  </si>
  <si>
    <t xml:space="preserve">25_1_1 = </t>
  </si>
  <si>
    <t>A22-19-16</t>
  </si>
  <si>
    <t xml:space="preserve">     3.2. 산 재 보 험 료</t>
  </si>
  <si>
    <t xml:space="preserve">     계 :</t>
  </si>
  <si>
    <t>3.6ｍ×4.5cm×4.5cm</t>
  </si>
  <si>
    <t>직노x3.495%(1개월 이상)</t>
  </si>
  <si>
    <t xml:space="preserve">   가.형틀목공</t>
  </si>
  <si>
    <t>4. 아스팔트 스프레이어(4010ℓ)</t>
  </si>
  <si>
    <t>SA01500</t>
  </si>
  <si>
    <t>.sang=3000, jung=2833, kwan=768</t>
  </si>
  <si>
    <t>E0072040055</t>
  </si>
  <si>
    <t xml:space="preserve">     2) 주철이형관 운반</t>
  </si>
  <si>
    <t xml:space="preserve">    3) 되메우기및다짐:토사(관상단)-차도</t>
  </si>
  <si>
    <t>290</t>
  </si>
  <si>
    <t xml:space="preserve"> 다. 플레이트 콤팩터 (1.5TON)</t>
  </si>
  <si>
    <t xml:space="preserve">   Q  = (60 * {q1} * {F} * {E}) / {CM} = ?'M3/HR'</t>
  </si>
  <si>
    <t>KAAJA2515</t>
  </si>
  <si>
    <t>.sang=818 ,jung=636 ,kwan=659</t>
  </si>
  <si>
    <t>Φ600×H2600</t>
  </si>
  <si>
    <t>적용단위</t>
  </si>
  <si>
    <t xml:space="preserve">EQ=(LA(70)+la(90)+MA(70))*8.3/100=?
</t>
  </si>
  <si>
    <t>2. 하 차 비 (기계 하역료 적용)</t>
  </si>
  <si>
    <t xml:space="preserve">   일반고무판</t>
  </si>
  <si>
    <t>수 량</t>
  </si>
  <si>
    <t xml:space="preserve">.EQ = LA(70) * 3.495/100 '건강보험료'
</t>
  </si>
  <si>
    <t xml:space="preserve">   ~G99004020.E~ / 1.1 * 1.0  = ?EQ+</t>
  </si>
  <si>
    <t xml:space="preserve">    로우더        0.57 M3                          1</t>
  </si>
  <si>
    <t>E0021050005</t>
  </si>
  <si>
    <t>250</t>
  </si>
  <si>
    <t xml:space="preserve">   공구손료 및 잡재료비</t>
  </si>
  <si>
    <t xml:space="preserve">4,120 천원  </t>
  </si>
  <si>
    <t xml:space="preserve">EQ = (TOT(210)-MA(210)) * (15.0/100) - 6024 = ?'이윤'
</t>
  </si>
  <si>
    <t>No.12  소화전 설치(지상식)</t>
  </si>
  <si>
    <t>G25020050</t>
  </si>
  <si>
    <t>노임계금액소숫점</t>
  </si>
  <si>
    <t xml:space="preserve">     3.7. 퇴직공제부금비</t>
  </si>
  <si>
    <t>30km이내</t>
  </si>
  <si>
    <t>'※ 구역화물 적용 10.5ton 적용( L = 10Km 이내)'</t>
  </si>
  <si>
    <t xml:space="preserve">   '재 료 비 : '~E0002010020.M~ / {Q} =?MA</t>
  </si>
  <si>
    <t>No.3 부단수 할정자관 접합및부설</t>
  </si>
  <si>
    <t>일반용</t>
  </si>
  <si>
    <t>QEINC2</t>
  </si>
  <si>
    <t>G21050010</t>
  </si>
  <si>
    <t>특별인부</t>
  </si>
  <si>
    <t xml:space="preserve"> 나. 진동로울러 (핸드가이드식, 0.7TON)</t>
  </si>
  <si>
    <t>210</t>
  </si>
  <si>
    <t>'--------------------------------------------------------------'</t>
  </si>
  <si>
    <t>.sang=857,jung=190 ,kwan=453</t>
  </si>
  <si>
    <t xml:space="preserve">  '재 료 비 :' ~E0072100485.M~ / {Q} * 0.5 =?MA+</t>
  </si>
  <si>
    <t xml:space="preserve">CM = </t>
  </si>
  <si>
    <t xml:space="preserve">장대터널할증                            </t>
  </si>
  <si>
    <t xml:space="preserve">      ' 1) 콘크리트공 :'1.29'인'* LA("L025")  = ?LA+</t>
  </si>
  <si>
    <t>다이아몬드톱날</t>
  </si>
  <si>
    <t xml:space="preserve">     합   계</t>
  </si>
  <si>
    <t>※ 건설표준품셈(공통) : 8-2-10(P292)</t>
  </si>
  <si>
    <t>B-TYPE</t>
  </si>
  <si>
    <t xml:space="preserve">   &gt;'소  계 : '</t>
  </si>
  <si>
    <t>건설표준품셈(토목):6-8-1(P548)</t>
  </si>
  <si>
    <t>LA</t>
  </si>
  <si>
    <t>USCHE024</t>
  </si>
  <si>
    <t xml:space="preserve">     3.5. 연 금 보 험 료</t>
  </si>
  <si>
    <t>건설표준품셈(건축)2-1-1(P795)</t>
  </si>
  <si>
    <t xml:space="preserve">      이탈방지압륜</t>
  </si>
  <si>
    <t>(재+노+경)*0.50%(상하수도)</t>
  </si>
  <si>
    <t>직노x4.50%(1개월 이상)</t>
  </si>
  <si>
    <t>노x1.01%</t>
  </si>
  <si>
    <t xml:space="preserve">   표지판  설치</t>
  </si>
  <si>
    <t>교통안전표지판</t>
  </si>
  <si>
    <t>1.1 토     공</t>
  </si>
  <si>
    <t>140</t>
  </si>
  <si>
    <t>'            ***  중기 운반 목록표  ***       '</t>
  </si>
  <si>
    <t>표준형1.0B</t>
  </si>
  <si>
    <t>#12 물운반</t>
  </si>
  <si>
    <t>보통인부</t>
  </si>
  <si>
    <t>경    비</t>
  </si>
  <si>
    <t>물자/872/</t>
  </si>
  <si>
    <t xml:space="preserve">관급자재(토목,기계,건축,전기)-90        </t>
  </si>
  <si>
    <t>시간당노임산출계수(해상장비:버켓준설선)</t>
  </si>
  <si>
    <t>.C=0.008</t>
  </si>
  <si>
    <t>화물차운전사</t>
  </si>
  <si>
    <t>노임금액소숫점</t>
  </si>
  <si>
    <t>35</t>
  </si>
  <si>
    <t>.sang=1286,jung=786,kwan=504</t>
  </si>
  <si>
    <t xml:space="preserve">    8) 소화전 설치</t>
  </si>
  <si>
    <t>잡    품</t>
  </si>
  <si>
    <t>노임단가소숫점</t>
  </si>
  <si>
    <t xml:space="preserve">   1. 플랜지 조인트 접합</t>
  </si>
  <si>
    <t>100</t>
  </si>
  <si>
    <t>소화전 및 표지판 재설치</t>
  </si>
  <si>
    <t>덤프트럭   15 TON</t>
  </si>
  <si>
    <t>물정/730/</t>
  </si>
  <si>
    <t>M5226105</t>
  </si>
  <si>
    <t xml:space="preserve">   적벽돌</t>
  </si>
  <si>
    <t>90</t>
  </si>
  <si>
    <t>&gt;' 소   계 :'</t>
  </si>
  <si>
    <t>E0006020150</t>
  </si>
  <si>
    <t>QLINCZ</t>
  </si>
  <si>
    <t>입력단가</t>
  </si>
  <si>
    <t>QH21</t>
  </si>
  <si>
    <t>MKW00122</t>
  </si>
  <si>
    <t>진동롤러(자주식)   2.5 TON</t>
  </si>
  <si>
    <t>삼각형(공사중,위험표지판)</t>
  </si>
  <si>
    <t>MKW00122</t>
  </si>
  <si>
    <t xml:space="preserve">   2. 부단수 천공 분기점 분기</t>
  </si>
  <si>
    <t xml:space="preserve">     1. 재 료 비 (현장혼합콘크리트타설 3% 할증)</t>
  </si>
  <si>
    <t xml:space="preserve">   '재 료 비 :' ~E0013050007.M~ / {Q} = ?MA+</t>
  </si>
  <si>
    <t>구역화물(8.0ton)</t>
  </si>
  <si>
    <t>변 수 명</t>
  </si>
  <si>
    <t>No.6 제수밸브부설및접합</t>
  </si>
  <si>
    <t>80 KG</t>
  </si>
  <si>
    <t>L028</t>
  </si>
  <si>
    <t xml:space="preserve">  '재 료 비 :' ~E0072040055.M~ / {Q} * {T0} / {CM} = ?MA+</t>
  </si>
  <si>
    <t xml:space="preserve">.EQ = (TOT(70) ) * 0.51/100=?
</t>
  </si>
  <si>
    <t xml:space="preserve">199_1_5 = </t>
  </si>
  <si>
    <t>No.15 교통안전 표지판</t>
  </si>
  <si>
    <t>L028</t>
  </si>
  <si>
    <t>총   계</t>
  </si>
  <si>
    <t xml:space="preserve">.EQ = (LA(70) + la(90)) * 1.01/100 '고용보험료'
</t>
  </si>
  <si>
    <t>A22-19-12</t>
  </si>
  <si>
    <t>(B.H0.2㎥+램머)</t>
  </si>
  <si>
    <t>50</t>
  </si>
  <si>
    <t>QUS2WON3</t>
  </si>
  <si>
    <t xml:space="preserve">   '재 료 비 : '~E0027020020.M~ * {T2}*{A}*{D}=?EQ+</t>
  </si>
  <si>
    <t>5 TON</t>
  </si>
  <si>
    <t xml:space="preserve">TOG100                                                                                              </t>
  </si>
  <si>
    <t xml:space="preserve">    1) 아스콘</t>
  </si>
  <si>
    <t xml:space="preserve">LA+ = </t>
  </si>
  <si>
    <t xml:space="preserve">      아스팔트포장절단</t>
  </si>
  <si>
    <t>LA = MA(10,0,10) * QTY()/100</t>
  </si>
  <si>
    <t xml:space="preserve">LA+ = </t>
  </si>
  <si>
    <t>5 TON</t>
  </si>
  <si>
    <t>56900017030</t>
  </si>
  <si>
    <t xml:space="preserve">22_1_1 = </t>
  </si>
  <si>
    <t>M8922017</t>
  </si>
  <si>
    <t xml:space="preserve">   교통안전표지판</t>
  </si>
  <si>
    <t>'  경  비 :'~E0002010020.E~ / Q * {A} = ?EQ</t>
  </si>
  <si>
    <t>비상소화장치(소화전및펌프 포함)</t>
  </si>
  <si>
    <t xml:space="preserve">   '경    비 : '~E0027020020.E~ * {CM}*{A}*{D}=?EQ+</t>
  </si>
  <si>
    <t xml:space="preserve"> --------------------------------------------------------------</t>
  </si>
  <si>
    <t>L=5.0km</t>
  </si>
  <si>
    <t>#1 아스팔트포장깨기 | (T=20cm이하, B.H0.2㎥)|㎥</t>
  </si>
  <si>
    <t xml:space="preserve">       1) 시멘트 :  346 ㎏  / 40 ㎏</t>
  </si>
  <si>
    <t xml:space="preserve">   1. 벽돌쌓기</t>
  </si>
  <si>
    <t xml:space="preserve">A_x0002_29_1_1 = </t>
  </si>
  <si>
    <t>180</t>
  </si>
  <si>
    <t>SYTK00038</t>
  </si>
  <si>
    <t xml:space="preserve">    Qt = 2.0'ton'/20'㎥'=?'ton/㎥'</t>
  </si>
  <si>
    <t>10</t>
  </si>
  <si>
    <t>전기공사</t>
  </si>
  <si>
    <t>QDECLA</t>
  </si>
  <si>
    <t>내역서</t>
  </si>
  <si>
    <t xml:space="preserve">      계</t>
  </si>
  <si>
    <t>.sang=1800,jung=1200,kwan=708</t>
  </si>
  <si>
    <t xml:space="preserve">천원  </t>
  </si>
  <si>
    <t>QYEN2WON</t>
  </si>
  <si>
    <t xml:space="preserve">25_1_1+ = </t>
  </si>
  <si>
    <t xml:space="preserve">   '경    비 :' ~E0017300015.E~ / {Q} = ?EQ+</t>
  </si>
  <si>
    <t>동력분무기   4.85Kw</t>
  </si>
  <si>
    <t>트럭탑제형 크레인   10 TON</t>
  </si>
  <si>
    <t>4.5 톤</t>
  </si>
  <si>
    <t>QOPtimeDecOp</t>
  </si>
  <si>
    <t>No.17  시멘트벽돌쌓기</t>
  </si>
  <si>
    <t>LA=LA(20,0,40)*qty()/100</t>
  </si>
  <si>
    <t>&gt;&gt;'   계'</t>
  </si>
  <si>
    <t xml:space="preserve">   소    계 :</t>
  </si>
  <si>
    <t>#9 안전보호책설치및철거</t>
  </si>
  <si>
    <t>금 액</t>
  </si>
  <si>
    <t>EQ</t>
  </si>
  <si>
    <t xml:space="preserve">   '보통인부 :' 0.02'인' * ~L085~ / 1.5  =?LA+</t>
  </si>
  <si>
    <t xml:space="preserve">   '보통인부(포설및다짐) :' 1.0'인' / {A} * ~L085~ = ?LA+</t>
  </si>
  <si>
    <t>물가정보</t>
  </si>
  <si>
    <t xml:space="preserve">EQ=LA(20,0,30)*4/100= ?
</t>
  </si>
  <si>
    <t xml:space="preserve">     ({S1}+{S2}) * {D} =?MA+</t>
  </si>
  <si>
    <t>M08825061</t>
  </si>
  <si>
    <t>자재조서</t>
  </si>
  <si>
    <t>G06020045</t>
  </si>
  <si>
    <t>L=5km</t>
  </si>
  <si>
    <t>4. 들어내기: B.H 0.2㎥</t>
  </si>
  <si>
    <t xml:space="preserve">   '자동덮개 :' ~E0006020045.E~ / {q} =?EQ+</t>
  </si>
  <si>
    <t xml:space="preserve">835 천원  </t>
  </si>
  <si>
    <t>최저단가</t>
  </si>
  <si>
    <t xml:space="preserve">   '재 료 비 :' ~E0034300400.M~ / {Q}  = ?MA+</t>
  </si>
  <si>
    <t xml:space="preserve">A_x0002_24_1_1+ = </t>
  </si>
  <si>
    <t xml:space="preserve">199_1_7+ = </t>
  </si>
  <si>
    <t>E0003020057</t>
  </si>
  <si>
    <t>E0002010020</t>
  </si>
  <si>
    <t>G13050007</t>
  </si>
  <si>
    <t>G00050</t>
  </si>
  <si>
    <t>노무비의</t>
  </si>
  <si>
    <t>MZA51010</t>
  </si>
  <si>
    <t>QOPtimeDecCnt</t>
  </si>
  <si>
    <t>물정/749/</t>
  </si>
  <si>
    <t>MZZ9000</t>
  </si>
  <si>
    <t>WE0A0700</t>
  </si>
  <si>
    <t>#7 상차 : 폐기물</t>
  </si>
  <si>
    <t xml:space="preserve">83,251 천원  </t>
  </si>
  <si>
    <t xml:space="preserve">   '노 무 비 :' ~E0002110018.L~ / {Q} = ?LA+</t>
  </si>
  <si>
    <t>공 종 명</t>
  </si>
  <si>
    <t>Ø14" × 3.2t (콘크리트,아스팔트용)</t>
  </si>
  <si>
    <t>#13 콘크리트 타설(VIB제외) | 인력 소형|M3</t>
  </si>
  <si>
    <t xml:space="preserve">  소  계 :</t>
  </si>
  <si>
    <t>&gt;&gt;'  계 :'</t>
  </si>
  <si>
    <t>경    유</t>
  </si>
  <si>
    <t>경비</t>
  </si>
  <si>
    <t>1.6  폐기물 처리비</t>
  </si>
  <si>
    <t xml:space="preserve">.LA=LA(210,0,240)
.MA=MA(210,0,240)
.EQ=EQ(210,0,240)
</t>
  </si>
  <si>
    <t>#2 아스팔트포장절단 | |m</t>
  </si>
  <si>
    <t>/</t>
  </si>
  <si>
    <t>노임할증계수(터널구간:야간)</t>
  </si>
  <si>
    <t>QECU2WON</t>
  </si>
  <si>
    <t xml:space="preserve">EQ = (( LA(70) +  MA(70)) * 0.0293) = ?
</t>
  </si>
  <si>
    <t>ea</t>
  </si>
  <si>
    <t xml:space="preserve">    Q = {A} * {N} * {H} * {F} * {E} / {P} = ?'M3/HR'</t>
  </si>
  <si>
    <t xml:space="preserve">kg    </t>
  </si>
  <si>
    <t>(0.2㎥용)</t>
  </si>
  <si>
    <t>노임할증계수(장대터널:주야간)</t>
  </si>
  <si>
    <t xml:space="preserve">   값   </t>
  </si>
  <si>
    <t>L085</t>
  </si>
  <si>
    <t>경비계금액소숫점</t>
  </si>
  <si>
    <t>(B.H 0.2㎥)</t>
  </si>
  <si>
    <t>L085</t>
  </si>
  <si>
    <t>(쌍구형, D100mm)</t>
  </si>
  <si>
    <t>D100mm</t>
  </si>
  <si>
    <t xml:space="preserve">   ' 1. 재 료 비 (현장혼합콘크리트타설 3% 할증) '</t>
  </si>
  <si>
    <t>D100mm</t>
  </si>
  <si>
    <t>42100907002</t>
  </si>
  <si>
    <t>42100907002</t>
  </si>
  <si>
    <t>A22-19-14</t>
  </si>
  <si>
    <t xml:space="preserve">  T0 = 10 + 20 + T2 = ?</t>
  </si>
  <si>
    <t xml:space="preserve">  Q = 60 * 5.5 * {E} / {CM} =?</t>
  </si>
  <si>
    <t>'○ 1시간 작업량 :' Q = {A} / 8'hr' =?'M/hr'</t>
  </si>
  <si>
    <t>물탱크 5500ℓ</t>
  </si>
  <si>
    <t>E0027020020</t>
  </si>
  <si>
    <t xml:space="preserve">     2. 노 무 비</t>
  </si>
  <si>
    <t>&gt;&gt;' 계 :'</t>
  </si>
  <si>
    <t xml:space="preserve">Q+ = </t>
  </si>
  <si>
    <t xml:space="preserve">   '경    비 :' ~E0003020057.E~ / {Q} = ?EQ+</t>
  </si>
  <si>
    <t>물탱크(살수차)</t>
  </si>
  <si>
    <t xml:space="preserve">   배 관 공</t>
  </si>
  <si>
    <t>3.  살수(물탱크5500ℓ)</t>
  </si>
  <si>
    <t>TBC20020</t>
  </si>
  <si>
    <t>WC-2, #78</t>
  </si>
  <si>
    <t xml:space="preserve"> 나. 로 더(타이어 0.57㎥)</t>
  </si>
  <si>
    <t>M9366005</t>
  </si>
  <si>
    <t>QDECEQ</t>
  </si>
  <si>
    <t xml:space="preserve">    7. 비상소화장치(현장 설치도)</t>
  </si>
  <si>
    <t>(2인1조)</t>
  </si>
  <si>
    <t>%</t>
  </si>
  <si>
    <t xml:space="preserve">   '노 무 비 : '~E0021050005.L~ * {T2}*{A}*{D}=?EQ+</t>
  </si>
  <si>
    <t>'.재료비:'~E0002010020.M~ / Q * {A} = ?MA+</t>
  </si>
  <si>
    <t>※ 건설표준품셈(공통) : 8-2-15(P309)</t>
  </si>
  <si>
    <t>No.5 플랜지조인트접합</t>
  </si>
  <si>
    <t>A22-19-10</t>
  </si>
  <si>
    <t xml:space="preserve">   공구손료 및 잡재료</t>
  </si>
  <si>
    <t xml:space="preserve">     0.10 '인' * ~L004~ =?LA+</t>
  </si>
  <si>
    <t>(B.H0.2㎥+인력+살수다짐)</t>
  </si>
  <si>
    <t>#6 되메우기및다짐:모래(관주위)-차도</t>
  </si>
  <si>
    <t>QUS2WON1</t>
  </si>
  <si>
    <t xml:space="preserve">19_1_1+ = </t>
  </si>
  <si>
    <t xml:space="preserve">   ' 2. 노 무 비'</t>
  </si>
  <si>
    <t xml:space="preserve">    3) 밸 브</t>
  </si>
  <si>
    <t>No.16  교통통제및안전처리</t>
  </si>
  <si>
    <t>비교검토</t>
  </si>
  <si>
    <t>M1552033</t>
  </si>
  <si>
    <t>중기야간경비산출계수</t>
  </si>
  <si>
    <t xml:space="preserve">  살수대기 : 5 분    살수 : 20 분</t>
  </si>
  <si>
    <t>56900017059</t>
  </si>
  <si>
    <t>물자/478/</t>
  </si>
  <si>
    <t>No.14  교통안전 표지판</t>
  </si>
  <si>
    <t xml:space="preserve"> &lt;공통품셈 6-3-1&gt;</t>
  </si>
  <si>
    <t>'.노무비:'~E0002010020.L~ / Q * {A} = ?LA+</t>
  </si>
  <si>
    <t>3.치즐'(0.2㎥용)'</t>
  </si>
  <si>
    <t xml:space="preserve">60,591 천원  </t>
  </si>
  <si>
    <t>단 가</t>
  </si>
  <si>
    <t>건설기계운전사</t>
  </si>
  <si>
    <t>G72100485</t>
  </si>
  <si>
    <t>물정/1080/</t>
  </si>
  <si>
    <t>L041</t>
  </si>
  <si>
    <t>QLINCX</t>
  </si>
  <si>
    <t>비    고</t>
  </si>
  <si>
    <t>S</t>
  </si>
  <si>
    <t xml:space="preserve">      '3) 자  갈 :' 0.595'㎥'</t>
  </si>
  <si>
    <t>E0016300080</t>
  </si>
  <si>
    <t>G00054</t>
  </si>
  <si>
    <t>구)운전사(기계)</t>
  </si>
  <si>
    <t>물탱크(살수차)   5500 L</t>
  </si>
  <si>
    <t>'.노무비:'~E0002010020.L~ / {Q} = ?LA+</t>
  </si>
  <si>
    <t xml:space="preserve">※ 노란색 셀을 수정하고 툴바에서 수식 &gt; 시트계산을 하면 </t>
  </si>
  <si>
    <t>☞ 품셈 6-8-5</t>
  </si>
  <si>
    <t>'   트럭크레인      5 ton                                  1   '</t>
  </si>
  <si>
    <t>노임할증계수(해상장비:주간)</t>
  </si>
  <si>
    <t>.sang=1286,jung=857,kwan=682</t>
  </si>
  <si>
    <t xml:space="preserve">   3. 부단수 할 정자관</t>
  </si>
  <si>
    <t xml:space="preserve">  T2 = ( {L} / {V1} ) * 2 * 60 = ?</t>
  </si>
  <si>
    <t>'------------------------------------------------------------- '</t>
  </si>
  <si>
    <t>'  재료비 :'~E0002010020.M~ / Q * {A} = ?MA</t>
  </si>
  <si>
    <t>KPDCIP0102</t>
  </si>
  <si>
    <t>QLINCB</t>
  </si>
  <si>
    <t>비 고</t>
  </si>
  <si>
    <t>No.8</t>
  </si>
  <si>
    <t xml:space="preserve">     1.5 사급자재대</t>
  </si>
  <si>
    <t xml:space="preserve">식    </t>
  </si>
  <si>
    <t>비 고</t>
  </si>
  <si>
    <t>QDM2WON</t>
  </si>
  <si>
    <t xml:space="preserve">HR    </t>
  </si>
  <si>
    <t>노임할증계수(터널구간:주간)</t>
  </si>
  <si>
    <t>#.1</t>
  </si>
  <si>
    <t xml:space="preserve">   다.소모자재 (11%)</t>
  </si>
  <si>
    <t xml:space="preserve">    1) 소화전 표지판 설치</t>
  </si>
  <si>
    <t xml:space="preserve">   '재 료 비 : '~E0002010021.M~ / {Q} =?MA+</t>
  </si>
  <si>
    <t xml:space="preserve">    1) 아스콘 포장 철거</t>
  </si>
  <si>
    <t xml:space="preserve">   소계</t>
  </si>
  <si>
    <t>2. 운반 (덤프트럭 4.5 TON)</t>
  </si>
  <si>
    <t>(기계,D100mm)</t>
  </si>
  <si>
    <t>아스팔트유제</t>
  </si>
  <si>
    <t>No.6</t>
  </si>
  <si>
    <t>1.5 사급자재대</t>
  </si>
  <si>
    <t>2.5 TON</t>
  </si>
  <si>
    <t>EA</t>
  </si>
  <si>
    <t>중기가격</t>
  </si>
  <si>
    <t>No.12</t>
  </si>
  <si>
    <t xml:space="preserve">   t2 = (({L1}/10) + ({L1}/15) + ({L2}/30) + ({L2}/35)) * 60 = ?'min'</t>
  </si>
  <si>
    <t xml:space="preserve">          'V=10/15'              'V=30/35'</t>
  </si>
  <si>
    <t xml:space="preserve"> '(보통토)'</t>
  </si>
  <si>
    <t xml:space="preserve">  '보통인부 :' 1'인' / {A} * ~L085~ = ?LA+</t>
  </si>
  <si>
    <t>플랜지관접합부속</t>
  </si>
  <si>
    <t>환율(사용자 환율1)</t>
  </si>
  <si>
    <t>240</t>
  </si>
  <si>
    <t xml:space="preserve">    6. 이             윤</t>
  </si>
  <si>
    <t xml:space="preserve">     3.6. 노인장기요양보험료</t>
  </si>
  <si>
    <t xml:space="preserve">.LA = LA(70) * 14.4/100 '간접노무비'
</t>
  </si>
  <si>
    <t>No.7 KP덕타일주철 이형관 부설</t>
  </si>
  <si>
    <t>트럭 트랙터 및 트레일러</t>
  </si>
  <si>
    <t>1</t>
  </si>
  <si>
    <t xml:space="preserve">  가. 커터(320-400㎜)</t>
  </si>
  <si>
    <t xml:space="preserve">  '특별인부 :' 1'인' / {A} * ~L084~ = ?LA+</t>
  </si>
  <si>
    <t>휘 발 유</t>
  </si>
  <si>
    <t xml:space="preserve">6,258 천원  </t>
  </si>
  <si>
    <t xml:space="preserve">       3) 자  갈 :  0.595 ㎥</t>
  </si>
  <si>
    <t>&gt;&gt;'      계 : '</t>
  </si>
  <si>
    <t>&gt;&gt;'      계 : '</t>
  </si>
  <si>
    <t>No.1  비상소화장치(현장 설치도)</t>
  </si>
  <si>
    <t>산 출 근 거</t>
  </si>
  <si>
    <t>No.11 기존 소화전,함,표지판 철거 및</t>
  </si>
  <si>
    <t>KAAJA2520</t>
  </si>
  <si>
    <t>리프트트럭(지게차)   5 TON</t>
  </si>
  <si>
    <t>56900017041</t>
  </si>
  <si>
    <t xml:space="preserve">  40'MIN' / 60 =?K'HR'</t>
  </si>
  <si>
    <t>대형 브레이카</t>
  </si>
  <si>
    <t>물자/138/</t>
  </si>
  <si>
    <t>L017</t>
  </si>
  <si>
    <t>내수합판</t>
  </si>
  <si>
    <t>QDATE</t>
  </si>
  <si>
    <t>200</t>
  </si>
  <si>
    <t xml:space="preserve">   1. 주철관 절단</t>
  </si>
  <si>
    <t>'.경  비:'~E0002010020.E~ / {Q} = ?EQ+</t>
  </si>
  <si>
    <t>.sang=900, jung=700, kwan=485</t>
  </si>
  <si>
    <t>배 관 공</t>
  </si>
  <si>
    <t>시간당노임산출계수(터널구간)</t>
  </si>
  <si>
    <t xml:space="preserve">   &gt;' 소   계'</t>
  </si>
  <si>
    <t>굴삭기(타이어)</t>
  </si>
  <si>
    <t xml:space="preserve">   자재손료</t>
  </si>
  <si>
    <t xml:space="preserve">  '경    비 :' ~E0072100485.E~ / {Q} * 0.5 =?EQ+</t>
  </si>
  <si>
    <t>건보x12.27%(1개월 이상)</t>
  </si>
  <si>
    <t xml:space="preserve">    Cm = t1+t2+t3+t4 =?'min'</t>
  </si>
  <si>
    <t>MA</t>
  </si>
  <si>
    <t>진동 로울러 (핸드가이드식)</t>
  </si>
  <si>
    <t>E0017300015</t>
  </si>
  <si>
    <t>굴삭기(무한궤도)</t>
  </si>
  <si>
    <t>재료비할증계수(주야간)</t>
  </si>
  <si>
    <t xml:space="preserve">.EQ = (TOT(70)+TOT(80)) * 6.0/100 '일반관리비'
</t>
  </si>
  <si>
    <t xml:space="preserve">      2) 폐기물 처리비</t>
  </si>
  <si>
    <t>포 장 공</t>
  </si>
  <si>
    <t xml:space="preserve">    7) 제수밸브 보호통 설치</t>
  </si>
  <si>
    <t xml:space="preserve">   '노 무 비 :' ~E0003020057.L~ / {Q} = ?LA+</t>
  </si>
  <si>
    <t>No.8 주철관 절단</t>
  </si>
  <si>
    <t xml:space="preserve">   보통인부</t>
  </si>
  <si>
    <t xml:space="preserve">      1) 폐기물 운반비</t>
  </si>
  <si>
    <t>150</t>
  </si>
  <si>
    <t>No.1 비상소화장치(현장 설치도)</t>
  </si>
  <si>
    <t>합 계</t>
  </si>
  <si>
    <t>MZA51100</t>
  </si>
  <si>
    <t>#.11</t>
  </si>
  <si>
    <t xml:space="preserve"> 나. 자동덮개</t>
  </si>
  <si>
    <t xml:space="preserve">EQ+ = </t>
  </si>
  <si>
    <t>0.7 톤</t>
  </si>
  <si>
    <t>5</t>
  </si>
  <si>
    <t>할 증</t>
  </si>
  <si>
    <t xml:space="preserve"> ○ 블레이드 :   0.27 EA  / 100 M</t>
  </si>
  <si>
    <t xml:space="preserve">     ({B} * ~M08825061~)*{J} =?MA+:S2</t>
  </si>
  <si>
    <t>K0000520</t>
  </si>
  <si>
    <t>0.18 M3</t>
  </si>
  <si>
    <t xml:space="preserve">기계공사-60                             </t>
  </si>
  <si>
    <t>110</t>
  </si>
  <si>
    <t xml:space="preserve">   cm = {t1}+{t2}+{t3}+{t4}+{t5}= ?</t>
  </si>
  <si>
    <t>래머</t>
  </si>
  <si>
    <t>물정/774/</t>
  </si>
  <si>
    <t>문자</t>
  </si>
  <si>
    <t xml:space="preserve">   1) 기계(:백호우0.2㎥  50%)</t>
  </si>
  <si>
    <t xml:space="preserve">T2 = </t>
  </si>
  <si>
    <t xml:space="preserve">   배 관 공(수 도)</t>
  </si>
  <si>
    <t xml:space="preserve">어스앵커 공수                           </t>
  </si>
  <si>
    <t xml:space="preserve">2,770 천원  </t>
  </si>
  <si>
    <t xml:space="preserve">      모래</t>
  </si>
  <si>
    <t xml:space="preserve">   1. 부단수 할정자관 부설및 접합</t>
  </si>
  <si>
    <t xml:space="preserve">   '경    비 :' ~E0034300400.E~ / {Q}  = ?EQ+</t>
  </si>
  <si>
    <t xml:space="preserve">  '노 무 비 :' ~E0044300400.L~ / {Q} =?LA+</t>
  </si>
  <si>
    <t>ton</t>
  </si>
  <si>
    <t>40㎏/포대</t>
  </si>
  <si>
    <t>QH31</t>
  </si>
  <si>
    <t xml:space="preserve">     3.11. 기타경비</t>
  </si>
  <si>
    <t>'.보통인부:'~L085~ * 0.11'인'* {B} = ?LA+</t>
  </si>
  <si>
    <t>OP값</t>
  </si>
  <si>
    <t>80</t>
  </si>
  <si>
    <t xml:space="preserve">  '경    비 :' {B}'TON' * ~SA07600.E~ = ?EQ+</t>
  </si>
  <si>
    <t xml:space="preserve">   '경    비 :' ~E0002110018.E~ / {Q} = ?EQ+</t>
  </si>
  <si>
    <t>노임할증계수(해상장비:야간)</t>
  </si>
  <si>
    <t>트럭탑제형 크레인</t>
  </si>
  <si>
    <t>80</t>
  </si>
  <si>
    <t xml:space="preserve">   비상소화장치(소화전및펌프 포함)</t>
  </si>
  <si>
    <t xml:space="preserve">  흡입준비 : 5 분    흡입 : 10 분</t>
  </si>
  <si>
    <t xml:space="preserve">   '노 무 비 : '~E0002010020.L~ / {Q} =?LA</t>
  </si>
  <si>
    <t xml:space="preserve">252_1_5 = </t>
  </si>
  <si>
    <t>QLINCF</t>
  </si>
  <si>
    <t>No.2  부단수 할정자관 접합및부설</t>
  </si>
  <si>
    <t>형틀목공</t>
  </si>
  <si>
    <t>폐기물 처리비</t>
  </si>
  <si>
    <t>중기주야간할증계수</t>
  </si>
  <si>
    <t>#3 터파기:토사(육상)-차도 | (B.H0.2㎥+인력)|㎥</t>
  </si>
  <si>
    <t>200x100</t>
  </si>
  <si>
    <t>#.5</t>
  </si>
  <si>
    <t>40</t>
  </si>
  <si>
    <t>G13060025</t>
  </si>
  <si>
    <t>QMINC3</t>
  </si>
  <si>
    <t>No.2</t>
  </si>
  <si>
    <t>190</t>
  </si>
  <si>
    <t xml:space="preserve">   '경    비 : '~E0002010020.E~ / {Q} =?EQ</t>
  </si>
  <si>
    <t>2. 다 짐 (램머 80㎏)</t>
  </si>
  <si>
    <t>WB000000</t>
  </si>
  <si>
    <t>단위</t>
  </si>
  <si>
    <t>코    드</t>
  </si>
  <si>
    <t xml:space="preserve">순성토운반-90                           </t>
  </si>
  <si>
    <t>QH1</t>
  </si>
  <si>
    <t>No.16</t>
  </si>
  <si>
    <t>MA=LA(20,0,30)*qty()/100</t>
  </si>
  <si>
    <t xml:space="preserve">   '노 무 비 :' ~E0017300015.L~ / {Q} = ?LA+</t>
  </si>
  <si>
    <t>1. 재 료 비</t>
  </si>
  <si>
    <t>M3</t>
  </si>
  <si>
    <t>G02300002</t>
  </si>
  <si>
    <t>시멘트모르터</t>
  </si>
  <si>
    <t xml:space="preserve">  Q = 3600*q*K*f*E/Cm =?'㎥/hr'</t>
  </si>
  <si>
    <t>No.14 교통안전 표지판</t>
  </si>
  <si>
    <t>물정/754/</t>
  </si>
  <si>
    <t>56900017085</t>
  </si>
  <si>
    <t>규    격</t>
  </si>
  <si>
    <t>QDECMA</t>
  </si>
  <si>
    <t>MZA60600</t>
  </si>
  <si>
    <t xml:space="preserve">   '경    비 : '~E0006020150.E~ * {T2}*{A}*{D}=?EQ+</t>
  </si>
  <si>
    <t>202201</t>
  </si>
  <si>
    <t xml:space="preserve">    2. 직 접 공 사 비 계</t>
  </si>
  <si>
    <t xml:space="preserve"> 가. 덤프트럭 운반</t>
  </si>
  <si>
    <t xml:space="preserve">  '물 :'{B}'ton'* ~M000005~ =?MA+</t>
  </si>
  <si>
    <t>물자/892/</t>
  </si>
  <si>
    <t xml:space="preserve">  ({A} '인' * ~L085~) / ({Q} * {B} 'HR')=?LA+</t>
  </si>
  <si>
    <t>#6 되메우기및다짐:모래(관주위)-차도 | (B.H0.2㎥+인력+살수다짐)|㎥</t>
  </si>
  <si>
    <t>G00040</t>
  </si>
  <si>
    <t>G00040</t>
  </si>
  <si>
    <t xml:space="preserve">    Q = Q1/Qt =?'ton/Hr'</t>
  </si>
  <si>
    <t>.B=0.038</t>
  </si>
  <si>
    <t>2. 노 무 비</t>
  </si>
  <si>
    <t>중기기초자료</t>
  </si>
  <si>
    <t xml:space="preserve">EQ=LA(20,0,30)*2/100= ?
</t>
  </si>
  <si>
    <t xml:space="preserve">LA = </t>
  </si>
  <si>
    <t>3</t>
  </si>
  <si>
    <t xml:space="preserve">    4. 일 반 관 리 비</t>
  </si>
  <si>
    <t>2.보통 인부</t>
  </si>
  <si>
    <t>QSABUN</t>
  </si>
  <si>
    <t xml:space="preserve">20_1_1 = </t>
  </si>
  <si>
    <t xml:space="preserve">   '노 무 비 :' ~E0034300400.L~ / {Q}  = ?LA+</t>
  </si>
  <si>
    <t>1. 백호우 0.2 ㎥</t>
  </si>
  <si>
    <t>일위대가_산근</t>
  </si>
  <si>
    <t xml:space="preserve"> ============================================================</t>
  </si>
  <si>
    <t>노 무 비</t>
  </si>
  <si>
    <t xml:space="preserve">    합  계                               1        2        1</t>
  </si>
  <si>
    <t>#12 물운반 | 물탱크 5500ℓ|ton</t>
  </si>
  <si>
    <t xml:space="preserve">   </t>
  </si>
  <si>
    <t xml:space="preserve">.EQ = (LA(70) + la(90)) * 3.70/100 '산재보험료'
</t>
  </si>
  <si>
    <t>노 무 비</t>
  </si>
  <si>
    <t>MZA51000</t>
  </si>
  <si>
    <t>MZA51000</t>
  </si>
  <si>
    <t xml:space="preserve">     소  계 :</t>
  </si>
  <si>
    <t>#7 상차 : 폐기물 | (B.H 0.2㎥)|㎥</t>
  </si>
  <si>
    <t>2.5 톤</t>
  </si>
  <si>
    <t xml:space="preserve">      플랜지관접합부속</t>
  </si>
  <si>
    <t>3. 공구손료 및 경장비 기계경비(품의 1%)</t>
  </si>
  <si>
    <t xml:space="preserve">    굴 삭 기      0.20M3                 1</t>
  </si>
  <si>
    <t>1. 백호우 0.2㎥</t>
  </si>
  <si>
    <t>굴삭기(무한궤도)+브레이카</t>
  </si>
  <si>
    <t xml:space="preserve">m     </t>
  </si>
  <si>
    <t>No.4</t>
  </si>
  <si>
    <t xml:space="preserve">     중기명   :   규 격    :    트 레 일 러       D.T    자주</t>
  </si>
  <si>
    <t>1. 배치인원</t>
  </si>
  <si>
    <t>※ 건설표준품셈(공통) : 8-2-3(P266), 8-2-8(P281)</t>
  </si>
  <si>
    <t xml:space="preserve">%     </t>
  </si>
  <si>
    <t>E0006020025</t>
  </si>
  <si>
    <t>건설표준품셈(토목) : 6-2-4(P518)</t>
  </si>
  <si>
    <t>No.10</t>
  </si>
  <si>
    <t xml:space="preserve">  '경    비 :' ~E0044300400.E~ / {Q} =?EQ+</t>
  </si>
  <si>
    <t xml:space="preserve">    12. 총  공  사  비</t>
  </si>
  <si>
    <t xml:space="preserve">A_x0002_37_1_1 = </t>
  </si>
  <si>
    <t xml:space="preserve">   '재 료 비 :' ~E0013060025.M~ / {Q} = ?MA+</t>
  </si>
  <si>
    <t>※ 건설표준품셈(공통) : 8-2-8(P282)</t>
  </si>
  <si>
    <t xml:space="preserve">      합  계 :</t>
  </si>
  <si>
    <t>시간당노임산출계수(해상장비:펌프준설선)</t>
  </si>
  <si>
    <t>환율(장비가격10만불이하)</t>
  </si>
  <si>
    <t xml:space="preserve"> LA = MA(20,0,20)*(5/100)
</t>
  </si>
  <si>
    <t xml:space="preserve">   거푸집</t>
  </si>
  <si>
    <t xml:space="preserve">   '재 료 비 : '~E0006020150.M~ * {T2}*{A}*{D}=?EQ+</t>
  </si>
  <si>
    <t>G44300400</t>
  </si>
  <si>
    <t>.sang=1200, jung=1067,kwan=700</t>
  </si>
  <si>
    <t xml:space="preserve">  나. 동력분무기(4.85kW) - 0.5대</t>
  </si>
  <si>
    <t>PAB0F063</t>
  </si>
  <si>
    <t>PAB0F063</t>
  </si>
  <si>
    <t>#.3</t>
  </si>
  <si>
    <t xml:space="preserve">20_1_1+ = </t>
  </si>
  <si>
    <t>직노x2.30%(1억원 이상)</t>
  </si>
  <si>
    <t>No.3  부단수 할정자관 접합및부설</t>
  </si>
  <si>
    <t xml:space="preserve"> ※ 구역화물 적용 10.5ton 적용( L = 10Km 이내)</t>
  </si>
  <si>
    <t xml:space="preserve">     계</t>
  </si>
  <si>
    <t>L138</t>
  </si>
  <si>
    <t>환율(유로화)</t>
  </si>
  <si>
    <t>#.9</t>
  </si>
  <si>
    <t>No.10  제수밸브 보호통 설치</t>
  </si>
  <si>
    <t>3. 다  짐</t>
  </si>
  <si>
    <t xml:space="preserve">  소 계</t>
  </si>
  <si>
    <t>덤프트럭</t>
  </si>
  <si>
    <t>MZA60590</t>
  </si>
  <si>
    <t>시멘트</t>
  </si>
  <si>
    <t xml:space="preserve">     1) 기존 소화전, 함,표지판  철거 및</t>
  </si>
  <si>
    <t>EQ=LA(20,0,30)*4/100= ?</t>
  </si>
  <si>
    <t>E0002110018</t>
  </si>
  <si>
    <t>D100</t>
  </si>
  <si>
    <t xml:space="preserve">갤러리관보강길이                        </t>
  </si>
  <si>
    <t>No.14</t>
  </si>
  <si>
    <t xml:space="preserve">      아스팔트콘트리트</t>
  </si>
  <si>
    <t xml:space="preserve">    9. 공  급   가  액</t>
  </si>
  <si>
    <t>규 격</t>
  </si>
  <si>
    <t xml:space="preserve">  '노 무 비 :' ~E0072040055.L~ / {Q} = ?LA+</t>
  </si>
  <si>
    <t>커터(콘크리트및아스팔트용)</t>
  </si>
  <si>
    <t xml:space="preserve">      아스팔트콘트리트(기층)</t>
  </si>
  <si>
    <t xml:space="preserve">A_x0002_29_1_1+ = </t>
  </si>
  <si>
    <t>'경  비:'~E0002010020.E~ / Q * {A} = ?EQ</t>
  </si>
  <si>
    <t>20 TON</t>
  </si>
  <si>
    <t xml:space="preserve">분수-50                                 </t>
  </si>
  <si>
    <t>QLINCD</t>
  </si>
  <si>
    <t>자재</t>
  </si>
  <si>
    <t>150x100</t>
  </si>
  <si>
    <t xml:space="preserve">A_x0002_16_1_1 = </t>
  </si>
  <si>
    <t xml:space="preserve">%                                                                                                   </t>
  </si>
  <si>
    <t>150x100</t>
  </si>
  <si>
    <t>KPDCIP0104</t>
  </si>
  <si>
    <t>조</t>
  </si>
  <si>
    <t xml:space="preserve">   배관공(수도)</t>
  </si>
  <si>
    <t>(직공+간공)x6.0%</t>
  </si>
  <si>
    <t>재료비의</t>
  </si>
  <si>
    <t xml:space="preserve">   1. KP이탈방지압륜접합</t>
  </si>
  <si>
    <t xml:space="preserve">    '재료비:' ~E0016300080.M~ / {Q} = ?MA+</t>
  </si>
  <si>
    <t>트럭탑재형 크레인</t>
  </si>
  <si>
    <t>플레이트 콤팩터</t>
  </si>
  <si>
    <t xml:space="preserve">포    </t>
  </si>
  <si>
    <t>○물운반차</t>
  </si>
  <si>
    <t>No.6  제수밸브부설및접합</t>
  </si>
  <si>
    <t xml:space="preserve">79,902 천원  </t>
  </si>
  <si>
    <t>가격정보</t>
  </si>
  <si>
    <t xml:space="preserve">   공구손료 및 경장비</t>
  </si>
  <si>
    <t>#.7</t>
  </si>
  <si>
    <t xml:space="preserve">   ▶ 토목품셈 1-5-6 아스팔트 표층 소규모 포설</t>
  </si>
  <si>
    <t>G34300400</t>
  </si>
  <si>
    <t>물자/873/</t>
  </si>
  <si>
    <t>QSDR2WON</t>
  </si>
  <si>
    <t xml:space="preserve">    3) 밸브 부설및접합</t>
  </si>
  <si>
    <t xml:space="preserve">    트럭크레인      5 ton                                  1</t>
  </si>
  <si>
    <t xml:space="preserve">64,375 천원  </t>
  </si>
  <si>
    <t>이탈방지압륜</t>
  </si>
  <si>
    <t xml:space="preserve"> ※ 되메우기에서 적용</t>
  </si>
  <si>
    <t xml:space="preserve">1,273 천원  </t>
  </si>
  <si>
    <t>100㎜</t>
  </si>
  <si>
    <t>일반고무판</t>
  </si>
  <si>
    <t xml:space="preserve">    2) 플랜지조인트접합</t>
  </si>
  <si>
    <t>TB0A0003</t>
  </si>
  <si>
    <t>Φ25mm이하</t>
  </si>
  <si>
    <t>QH33</t>
  </si>
  <si>
    <t xml:space="preserve">    2) 터파기:토사(육상)-차도</t>
  </si>
  <si>
    <t>300</t>
  </si>
  <si>
    <t xml:space="preserve"> BH0.2 + D/T4.5TON</t>
  </si>
  <si>
    <t>대형 브레이카   0.2 M3용</t>
  </si>
  <si>
    <t>☞ 품셈 6-8-4</t>
  </si>
  <si>
    <t xml:space="preserve">   '노 무 비 : '~E0006020025.L~ * {T2}*{A}*{D}=?EQ+</t>
  </si>
  <si>
    <t>기당</t>
  </si>
  <si>
    <t xml:space="preserve">   1. 주철이형관 부설</t>
  </si>
  <si>
    <t xml:space="preserve">      ' 2) 보통인부 :'1.36'인'* LA("L085")  = ?LA+</t>
  </si>
  <si>
    <t xml:space="preserve">             ***  중기 운반 목록표  ***</t>
  </si>
  <si>
    <t>규        격</t>
  </si>
  <si>
    <t>7</t>
  </si>
  <si>
    <t>QLINC2</t>
  </si>
  <si>
    <t xml:space="preserve">                                      20 TON   15 TON</t>
  </si>
  <si>
    <t xml:space="preserve">ℓ    </t>
  </si>
  <si>
    <t>재료비계금액소숫점</t>
  </si>
  <si>
    <t xml:space="preserve">     1) 게이트 밸브</t>
  </si>
  <si>
    <t>#11 주철이형관 운반 | 구역화물 L=10KM 이내|ton</t>
  </si>
  <si>
    <t xml:space="preserve">   CM = {T2} + {K} =?'HR'</t>
  </si>
  <si>
    <t xml:space="preserve">   '재 료 비 : '~E0006020045.M~ / {Q} = ?MA+</t>
  </si>
  <si>
    <t xml:space="preserve">   '경    비 : '~E0006020045.E~ / {Q} = ?EQ+</t>
  </si>
  <si>
    <t>830×1300, 중형철개포함</t>
  </si>
  <si>
    <t>QDECPEQ</t>
  </si>
  <si>
    <t xml:space="preserve">  중 기 운 반</t>
  </si>
  <si>
    <t>SA07600</t>
  </si>
  <si>
    <t>일반기계운전사</t>
  </si>
  <si>
    <t>물자/102/</t>
  </si>
  <si>
    <t>물정/311/</t>
  </si>
  <si>
    <t>적용방법</t>
  </si>
  <si>
    <t>(재+노+경)*0.51%(상하수도설비)</t>
  </si>
  <si>
    <t>'재료비:'~E0002010020.M~ / Q * {A} = ?MA</t>
  </si>
  <si>
    <t>D100mm(기계)</t>
  </si>
  <si>
    <t xml:space="preserve">20,105 천원  </t>
  </si>
  <si>
    <t>MZAKP00350</t>
  </si>
  <si>
    <t xml:space="preserve">   T2 = ({L1}/{V1})*2 =?'HR'</t>
  </si>
  <si>
    <t xml:space="preserve">     계:</t>
  </si>
  <si>
    <t xml:space="preserve">  '노 무 비 :' ~E0072100485.L~ / {Q} * 0.5 =?LA+</t>
  </si>
  <si>
    <t>덤프트럭   4.5 톤</t>
  </si>
  <si>
    <t xml:space="preserve">246_1_4 = </t>
  </si>
  <si>
    <t xml:space="preserve">    Q1 = 60*V*E/Cm =?'ton/Hr'</t>
  </si>
  <si>
    <t>QDECCLA</t>
  </si>
  <si>
    <t>MA = MA(10,0,10)*(30/100)</t>
  </si>
  <si>
    <t>G17300015</t>
  </si>
  <si>
    <t xml:space="preserve">  '경    비 :' ~E0072040055.E~ / {Q} = ?EQ+</t>
  </si>
  <si>
    <t>노임할증계수(일반구간:주간)</t>
  </si>
  <si>
    <t>커터(콘크리트및아스팔트용)   320-400 MM</t>
  </si>
  <si>
    <t>아스팔트 스프레이어   400 L</t>
  </si>
  <si>
    <t>#14 거푸집 | 합판6회(간단)|㎡</t>
  </si>
  <si>
    <t xml:space="preserve">   보호통 설치</t>
  </si>
  <si>
    <t xml:space="preserve">   제수변보호통(중형철개포함)</t>
  </si>
  <si>
    <t xml:space="preserve">   엑셀 수식이 적용됩니다. (단축키 F9 키) </t>
  </si>
  <si>
    <t>MZAKP00310</t>
  </si>
  <si>
    <t>(SANG + JUNG + int(KWAN/3))*10^-4</t>
  </si>
  <si>
    <t xml:space="preserve">    8. 폐기물 처리비</t>
  </si>
  <si>
    <t>No.5  플랜지조인트접합</t>
  </si>
  <si>
    <t xml:space="preserve">   N  = {q1} / (0.2 * {K}) = ?</t>
  </si>
  <si>
    <t>#4 되메우기및다짐:토사(관상단)-차도</t>
  </si>
  <si>
    <t>아스팔트 스프레이어</t>
  </si>
  <si>
    <t xml:space="preserve">19_1_1 = </t>
  </si>
  <si>
    <t xml:space="preserve">   트럭탑제형 크레인</t>
  </si>
  <si>
    <t xml:space="preserve">   '노 무 비 : '~E0006020150.L~ * {T2}*{A}*{D}=?EQ+</t>
  </si>
  <si>
    <t>KAAJA2510</t>
  </si>
  <si>
    <t>일반공사 직종</t>
  </si>
  <si>
    <t>단    가</t>
  </si>
  <si>
    <t>단가</t>
  </si>
  <si>
    <t>(노+경+일)x15.0%이내</t>
  </si>
  <si>
    <t xml:space="preserve">     0.02 '인' * ~L085~ =?LA+</t>
  </si>
  <si>
    <t xml:space="preserve">EQ = </t>
  </si>
  <si>
    <t xml:space="preserve">  ({C} * ~M000001~) / {Q} =?EQ+</t>
  </si>
  <si>
    <t xml:space="preserve">2,838 천원  </t>
  </si>
  <si>
    <t>부단수 할 정자관</t>
  </si>
  <si>
    <t>270</t>
  </si>
  <si>
    <t>콘크리트. 아스콘</t>
  </si>
  <si>
    <t>M000036</t>
  </si>
  <si>
    <t>아스콘</t>
  </si>
  <si>
    <t>QUS2WON2</t>
  </si>
  <si>
    <t>400 L</t>
  </si>
  <si>
    <t>MZA51500</t>
  </si>
  <si>
    <t>진동 롤러 (핸드가이드식)   0.7 톤</t>
  </si>
  <si>
    <t xml:space="preserve">42,923 천원  </t>
  </si>
  <si>
    <t>1. 자재대 : N = 15'회'</t>
  </si>
  <si>
    <t>A22-19-13</t>
  </si>
  <si>
    <t>MZA51500</t>
  </si>
  <si>
    <t>아스콘</t>
  </si>
  <si>
    <t xml:space="preserve">    소   계</t>
  </si>
  <si>
    <t>진동 롤러 (핸드가이드식)</t>
  </si>
  <si>
    <t xml:space="preserve">   q1 = 4.5 / 1.6 * 1.25 = ?</t>
  </si>
  <si>
    <t xml:space="preserve">㎡    </t>
  </si>
  <si>
    <t xml:space="preserve">전체투찰율                              </t>
  </si>
  <si>
    <t>포</t>
  </si>
  <si>
    <t xml:space="preserve">A_x0002_12_1_1 = </t>
  </si>
  <si>
    <t>M7212103</t>
  </si>
  <si>
    <t>230</t>
  </si>
  <si>
    <t>&gt;'소 계'</t>
  </si>
  <si>
    <t>No.10 제수밸브 보호통 설치</t>
  </si>
  <si>
    <t>.sang=4000, jung=1333, kwan=1021</t>
  </si>
  <si>
    <t>L029</t>
  </si>
  <si>
    <t>56900017137</t>
  </si>
  <si>
    <t>M001315</t>
  </si>
  <si>
    <t>하차비</t>
  </si>
  <si>
    <t xml:space="preserve">   * 수요기관지정장소 - 현장   L = 10KM 이내</t>
  </si>
  <si>
    <t>'.재료비:'~E0002010020.M~ / {Q} = ?MA+</t>
  </si>
  <si>
    <t>구)운전사(운반차)</t>
  </si>
  <si>
    <t>No.9 KP이탈방지압륜접합</t>
  </si>
  <si>
    <t>구)건설기계운전기사</t>
  </si>
  <si>
    <t>#2 아스팔트포장절단</t>
  </si>
  <si>
    <t xml:space="preserve">16,657 천원  </t>
  </si>
  <si>
    <t>건설표준품셈(토목) : 6-8-7(P554)</t>
  </si>
  <si>
    <t>E0013060025</t>
  </si>
  <si>
    <t xml:space="preserve">.EQ = LA(70) * 4.50/100 '연금보험료'
</t>
  </si>
  <si>
    <t>인력품의</t>
  </si>
  <si>
    <t xml:space="preserve">   소 계</t>
  </si>
  <si>
    <t>15</t>
  </si>
  <si>
    <t>&gt;' 소   계'</t>
  </si>
  <si>
    <t xml:space="preserve">199_1_7 = </t>
  </si>
  <si>
    <t xml:space="preserve">   전체 합계</t>
  </si>
  <si>
    <t>HAAAD040</t>
  </si>
  <si>
    <t>160</t>
  </si>
  <si>
    <t xml:space="preserve">.LA = LA(20,0,60)
.MA = MA(20,0,60)
.EQ = EQ(20,0,60)
</t>
  </si>
  <si>
    <t xml:space="preserve"> ==============================================================</t>
  </si>
  <si>
    <t xml:space="preserve">   '경    비 :' ~E0013060025.E~ / {Q} = ?EQ+</t>
  </si>
  <si>
    <t>#1 아스팔트포장깨기</t>
  </si>
  <si>
    <t>L088</t>
  </si>
  <si>
    <t>폐기물 운반비</t>
  </si>
  <si>
    <t>L086</t>
  </si>
  <si>
    <t>개당</t>
  </si>
  <si>
    <t xml:space="preserve">     3.9. 산업안전보건관리비</t>
  </si>
  <si>
    <t xml:space="preserve">      안전보호책설치및철거</t>
  </si>
  <si>
    <t>.LA=LA(20,0,50)
.MA=MA(20,0,50)
.EQ=EQ(20,0,50)</t>
  </si>
  <si>
    <t>노임할증계수(해상장비:주야간)</t>
  </si>
  <si>
    <t>&gt; '소  계 : '</t>
  </si>
  <si>
    <t xml:space="preserve">    4)  kP덕타일주철 이형관 부설</t>
  </si>
  <si>
    <t xml:space="preserve">   콘크리트 타설(VIB제외)</t>
  </si>
  <si>
    <t>수량</t>
  </si>
  <si>
    <t xml:space="preserve">     3.8. 건설기계대여대금</t>
  </si>
  <si>
    <t xml:space="preserve">   '경    비 : '~E0006020025.E~ * {T2}*{A}*{D}=?EQ+</t>
  </si>
  <si>
    <t>1.되메우기</t>
  </si>
  <si>
    <t>E0002300002</t>
  </si>
  <si>
    <t xml:space="preserve">   '경    비 :' ~E0006020025.E~ / {Q}  = ?EQ+</t>
  </si>
  <si>
    <t xml:space="preserve">199_1_6+ = </t>
  </si>
  <si>
    <t>'    중기명   :   규 격    :    트 레 일 러       D.T    자주  '</t>
  </si>
  <si>
    <t xml:space="preserve">MA115                                                                                               </t>
  </si>
  <si>
    <t>kg</t>
  </si>
  <si>
    <t xml:space="preserve">     3.10. 환경보전비</t>
  </si>
  <si>
    <t>120</t>
  </si>
  <si>
    <t>'   ㎥당 소요량:'</t>
  </si>
  <si>
    <t>m</t>
  </si>
  <si>
    <t>QEQTY3</t>
  </si>
  <si>
    <t>TBA0A003</t>
  </si>
  <si>
    <t>.LA=LA(80,0,110)
.MA=MA(80,0,110)
.EQ=EQ(80,0,110)</t>
  </si>
  <si>
    <t xml:space="preserve">     3.1. 간 접 노 무 비</t>
  </si>
  <si>
    <t>환율(마르크화)</t>
  </si>
  <si>
    <t>70</t>
  </si>
  <si>
    <t xml:space="preserve">인    </t>
  </si>
  <si>
    <t>TBA0A003</t>
  </si>
  <si>
    <t xml:space="preserve">    '포 장 공 :' 3.0'인' / {A} * ~L041~ = ?LA+</t>
  </si>
  <si>
    <t>70</t>
  </si>
  <si>
    <t xml:space="preserve">      자 갈(도착도)</t>
  </si>
  <si>
    <t xml:space="preserve">   '재 료 비 : '~E0006020025.M~ * {T2}*{A}*{D}=?EQ+</t>
  </si>
  <si>
    <t>1. 자재대 : N = 15 회</t>
  </si>
  <si>
    <t xml:space="preserve">   '노 무 비 :' ~E0013050007.L~ / {Q} = ?LA+</t>
  </si>
  <si>
    <t>No.4 부단수 할정자관 접합및부설</t>
  </si>
  <si>
    <t>'   로우더        0.57 M3                          1            '</t>
  </si>
  <si>
    <t xml:space="preserve">  2) 인력(50%) &lt;건설표준품셈(공통) : 3-2-1(P128)&gt;</t>
  </si>
  <si>
    <t>#4 되메우기및다짐:토사(관상단)-차도 | (B.H0.2㎥+램머)|㎥</t>
  </si>
  <si>
    <t>HEBB0062</t>
  </si>
  <si>
    <t>견적단가</t>
  </si>
  <si>
    <t>QEINC3</t>
  </si>
  <si>
    <t xml:space="preserve">     2) 소화전 설치(지상식)</t>
  </si>
  <si>
    <t>&gt;'  소   계'</t>
  </si>
  <si>
    <t xml:space="preserve">    5) 주철관 절단</t>
  </si>
  <si>
    <t xml:space="preserve">   계 :</t>
  </si>
  <si>
    <t>&gt; '소  계 :'</t>
  </si>
  <si>
    <t>30</t>
  </si>
  <si>
    <t>KSJSB0102</t>
  </si>
  <si>
    <t>56900017118</t>
  </si>
  <si>
    <t>No.11  기존 소화전,함,표지판 철거 및</t>
  </si>
  <si>
    <t>5500 L</t>
  </si>
  <si>
    <t>30</t>
  </si>
  <si>
    <t xml:space="preserve">    5) 되메우기및다짐:모래(관주위)-차도</t>
  </si>
  <si>
    <t>1. 트레일러 (20 TON) - {D=1}대</t>
  </si>
  <si>
    <t xml:space="preserve">254_1_5+ = </t>
  </si>
  <si>
    <t>3. 물운반비 :  물탱크(5500ℓ)</t>
  </si>
  <si>
    <t>래  머</t>
  </si>
  <si>
    <t xml:space="preserve">    t3 = 5500/550 =?'min(살수)'</t>
  </si>
  <si>
    <t xml:space="preserve">    '경  비:' ~E0016300080.E~ / {Q} = ?EQ+</t>
  </si>
  <si>
    <t xml:space="preserve">  (보통토)</t>
  </si>
  <si>
    <t>재료비</t>
  </si>
  <si>
    <t xml:space="preserve">.LA=LA(250,0,260)
.MA=MA(250,0,260)
.EQ=EQ(250,0,260)
</t>
  </si>
  <si>
    <t xml:space="preserve">.MA = MA(70)+MA(80)+MA(200)
.LA = LA(70)+LA(80)+LA(200)
.EQ = EQ(70)+EQ(80)+EQ(200)
</t>
  </si>
  <si>
    <t>&gt; '소    계 : '</t>
  </si>
  <si>
    <t>T</t>
  </si>
  <si>
    <t>QUS2WON</t>
  </si>
  <si>
    <t>A22-19-11</t>
  </si>
  <si>
    <t>'============================================================ '</t>
  </si>
  <si>
    <t>No.12 소화전 설치(지상식)</t>
  </si>
  <si>
    <t>개소</t>
  </si>
  <si>
    <t xml:space="preserve">A_x0002_16_1_1+ = </t>
  </si>
  <si>
    <t xml:space="preserve">      부단수 할정자관 접합및부설</t>
  </si>
  <si>
    <t xml:space="preserve">     1.4 부 대 공</t>
  </si>
  <si>
    <t xml:space="preserve">       2) 모  레 :  0.518 ㎥</t>
  </si>
  <si>
    <t>개소</t>
  </si>
  <si>
    <t xml:space="preserve">    2) 공사 안전시설</t>
  </si>
  <si>
    <t xml:space="preserve">TON   </t>
  </si>
  <si>
    <t>'○ 블레이드 : ' 0.27'EA' / 100'M'</t>
  </si>
  <si>
    <t>G06020025</t>
  </si>
  <si>
    <t>MZZ9700</t>
  </si>
  <si>
    <t>((직노+재료)*2.93%(2천만원이상)</t>
  </si>
  <si>
    <t xml:space="preserve">   할증</t>
  </si>
  <si>
    <t xml:space="preserve">   나.보통인부</t>
  </si>
  <si>
    <t>Φ150㎜x100㎜</t>
  </si>
  <si>
    <t>MZZ9700</t>
  </si>
  <si>
    <t xml:space="preserve"> -------------------------------------------------------------</t>
  </si>
  <si>
    <t>Φ150㎜x100㎜</t>
  </si>
  <si>
    <t>No.13  소화전 표지판 설치</t>
  </si>
  <si>
    <t xml:space="preserve">1,502 천원  </t>
  </si>
  <si>
    <t>G00030</t>
  </si>
  <si>
    <t>*</t>
  </si>
  <si>
    <t xml:space="preserve">   소   계</t>
  </si>
  <si>
    <t>SB03200</t>
  </si>
  <si>
    <t>로더 (타이어)</t>
  </si>
  <si>
    <t>L025</t>
  </si>
  <si>
    <t>적벽돌</t>
  </si>
  <si>
    <t>3. 자주식중기 - 트럭크레인(트럭 5 ton) - {D=1}대</t>
  </si>
  <si>
    <t xml:space="preserve">   '노 무 비 :' ~E0006020025.L~ / {Q}  = ?LA+</t>
  </si>
  <si>
    <t xml:space="preserve">42,792 천원  </t>
  </si>
  <si>
    <t>E0044300400</t>
  </si>
  <si>
    <t>1.4 부 대 공</t>
  </si>
  <si>
    <t>※ 건설표준품셈(공통) : 8-2-3(P266)</t>
  </si>
  <si>
    <t>No.2 부단수 할정자관 접합및부설</t>
  </si>
  <si>
    <t>인력 소형</t>
  </si>
  <si>
    <t xml:space="preserve">           V=10/15                V=30/35</t>
  </si>
  <si>
    <t xml:space="preserve">    3. 제    경    비</t>
  </si>
  <si>
    <t xml:space="preserve">   '재 료 비 :' ~E0002110018.M~ / {Q} = ?MA+</t>
  </si>
  <si>
    <t>YD00360</t>
  </si>
  <si>
    <t xml:space="preserve">수초-50                                 </t>
  </si>
  <si>
    <t>노임할증계수(터널구간:주야간)</t>
  </si>
  <si>
    <t>경비단가소숫점</t>
  </si>
  <si>
    <t xml:space="preserve">     3) 자재 하차비(지게차)</t>
  </si>
  <si>
    <t>(PE,1500 X 880)</t>
  </si>
  <si>
    <t>KSJSB0104</t>
  </si>
  <si>
    <t>환율(사용자 환율2)</t>
  </si>
  <si>
    <t>일위대가목록</t>
  </si>
  <si>
    <t>QDECCEQ</t>
  </si>
  <si>
    <t>노임할증계수(장대터널:주간)</t>
  </si>
  <si>
    <t>원형(작업구간표시 안내표지판)</t>
  </si>
  <si>
    <t>QCODE</t>
  </si>
  <si>
    <t>C-TYPE</t>
  </si>
  <si>
    <t>EQ=LA(20,0,30)*qty()/100</t>
  </si>
  <si>
    <t>MA=LA(20,0,30)*(2/100)</t>
  </si>
  <si>
    <t>리프트트럭(지게차)</t>
  </si>
  <si>
    <t>QLINCY</t>
  </si>
  <si>
    <t>F/M1</t>
  </si>
  <si>
    <t xml:space="preserve">A_x0002_12_1_1+ = </t>
  </si>
  <si>
    <t>1. 기계사용료 (대형브레이카 + 백호우 0.2M3)</t>
  </si>
  <si>
    <t xml:space="preserve">.LA=LA(90,0,120)
.MA=MA(90,0,120)
.EQ=EQ(90,0,120)
</t>
  </si>
  <si>
    <t>조 적 공</t>
  </si>
  <si>
    <t>MKW00121</t>
  </si>
  <si>
    <t>1. 운 반 (통운요율적용 10.5 톤)</t>
  </si>
  <si>
    <t>5. 덤프트럭(2.5TON)</t>
  </si>
  <si>
    <t>MKW00121</t>
  </si>
  <si>
    <t>QDECPLA</t>
  </si>
  <si>
    <t>3.치즐 (0.2㎥용)</t>
  </si>
  <si>
    <t>2. 덤프트럭(15 ton) - {D=2}대</t>
  </si>
  <si>
    <t xml:space="preserve">ton   </t>
  </si>
  <si>
    <t>15 TON</t>
  </si>
  <si>
    <t>금액계상</t>
  </si>
  <si>
    <t>#13 콘크리트 타설(VIB제외)</t>
  </si>
  <si>
    <t>#3 터파기:토사(육상)-차도</t>
  </si>
  <si>
    <t xml:space="preserve">60,857 천원  </t>
  </si>
  <si>
    <t>기계 하역료</t>
  </si>
  <si>
    <t xml:space="preserve">      '2) 모  레 :' 0.518'㎥'</t>
  </si>
  <si>
    <t>56900017058</t>
  </si>
  <si>
    <t>재 료 비</t>
  </si>
  <si>
    <t>경비금액소숫점</t>
  </si>
  <si>
    <t>KSJSB0100</t>
  </si>
  <si>
    <t>#11 주철이형관 운반</t>
  </si>
  <si>
    <t>L004</t>
  </si>
  <si>
    <t>시간당노임산출계수(장대터널)</t>
  </si>
  <si>
    <t>4.  왕복 2회(공사시작,공사종료) : A=2 회</t>
  </si>
  <si>
    <t>아스팔트콘트리트(표층)</t>
  </si>
  <si>
    <t>&gt;&gt;'  계:'</t>
  </si>
  <si>
    <t xml:space="preserve">Q = </t>
  </si>
  <si>
    <t>190×90×57mm</t>
  </si>
  <si>
    <t xml:space="preserve">    2) 운반 및 하차비</t>
  </si>
  <si>
    <t xml:space="preserve">      교통안전 표지판</t>
  </si>
  <si>
    <t>E0002010021</t>
  </si>
  <si>
    <t xml:space="preserve">    3) 상수자재</t>
  </si>
  <si>
    <t xml:space="preserve">    진동롤라      2.5 TON                          1</t>
  </si>
  <si>
    <t>Φ100㎜x100㎜</t>
  </si>
  <si>
    <t>(T=20cm이하, B.H0.2㎥)</t>
  </si>
  <si>
    <t>명    칭</t>
  </si>
  <si>
    <t xml:space="preserve">    5) 골 재 대</t>
  </si>
  <si>
    <t>구역화물 L=10KM 이내</t>
  </si>
  <si>
    <t>9.6t×914mm</t>
  </si>
  <si>
    <t>외송각재</t>
  </si>
  <si>
    <t xml:space="preserve">252_1_6 = </t>
  </si>
  <si>
    <t>자 갈(도착도)</t>
  </si>
  <si>
    <t>설치(5개소)공사</t>
  </si>
  <si>
    <t xml:space="preserve">.LA=LA(20,0,50)
.MA=MA(20,0,50)
.EQ=EQ(20,0,50)
</t>
  </si>
  <si>
    <t xml:space="preserve">248_1_5+ = </t>
  </si>
  <si>
    <t>물정/102/</t>
  </si>
  <si>
    <t>&gt;'소  계 : '</t>
  </si>
  <si>
    <t xml:space="preserve">  소 계 :</t>
  </si>
  <si>
    <t>로더 (타이어)   0.57 M3</t>
  </si>
  <si>
    <t>L084</t>
  </si>
  <si>
    <t xml:space="preserve">매    </t>
  </si>
  <si>
    <t xml:space="preserve">    10. 부 가 가 치 세</t>
  </si>
  <si>
    <t>A22-19-15</t>
  </si>
  <si>
    <t>#5 사토(현장-사토장, L=10.0km)</t>
  </si>
  <si>
    <t>.sang=1125,jung=750,kwan=674</t>
  </si>
  <si>
    <t xml:space="preserve">A                                                                                                   </t>
  </si>
  <si>
    <t>중기주야간경비산출계수</t>
  </si>
  <si>
    <t>G02110018</t>
  </si>
  <si>
    <t>&gt;'소 계 :'</t>
  </si>
  <si>
    <t>개소'</t>
  </si>
  <si>
    <t>㎥</t>
  </si>
  <si>
    <t xml:space="preserve">      교통통제및안전처리</t>
  </si>
  <si>
    <t>BH0.2 + D/T4.5TON</t>
  </si>
  <si>
    <t>2. 노무비</t>
  </si>
  <si>
    <t>'   굴 삭 기      0.20M3                 1                     '</t>
  </si>
  <si>
    <t>QEQTY1</t>
  </si>
  <si>
    <t>화폐변환</t>
  </si>
  <si>
    <t>E0034300400</t>
  </si>
  <si>
    <t xml:space="preserve">개소  </t>
  </si>
  <si>
    <t xml:space="preserve">  가. 굴삭기 (0.18㎥)</t>
  </si>
  <si>
    <t xml:space="preserve">조    </t>
  </si>
  <si>
    <t xml:space="preserve">TF                                                                                                  </t>
  </si>
  <si>
    <t xml:space="preserve">MA+ = </t>
  </si>
  <si>
    <t>㎡</t>
  </si>
  <si>
    <t>HBAAD120</t>
  </si>
  <si>
    <t>QVER</t>
  </si>
  <si>
    <t>전역변수</t>
  </si>
  <si>
    <t>1. 상차 ( B.H 0.2 M3)</t>
  </si>
  <si>
    <t xml:space="preserve">   Q=3600*q*K*f*E/Cm=?'㎥/hr'</t>
  </si>
  <si>
    <t>물정/1514/</t>
  </si>
  <si>
    <t xml:space="preserve">   설치 및 철거</t>
  </si>
  <si>
    <t>중기주간경비산출계수</t>
  </si>
  <si>
    <t>매</t>
  </si>
  <si>
    <t>2.인력(50%) &lt;건설표준품셈(공통) : 3-2-1(P128)&gt;</t>
  </si>
  <si>
    <t>노임할증계수(장대터널:야간)</t>
  </si>
  <si>
    <t xml:space="preserve">A_x0002_42_1_1 = </t>
  </si>
  <si>
    <t xml:space="preserve">    'PE안전휀스(1.5X0.9X0.41) :' ~M000036~ / 15 / 1.5 =?MA+</t>
  </si>
  <si>
    <t xml:space="preserve">    Cm1 = t2+t3 =?'min'</t>
  </si>
  <si>
    <t xml:space="preserve">   '노 무 비 : '~E0002010021.L~ / {Q} =?LA+</t>
  </si>
  <si>
    <t>E0025020050</t>
  </si>
  <si>
    <t>수도</t>
  </si>
  <si>
    <t>시간당노임산출계수(해상장비:GRAB준설선)</t>
  </si>
  <si>
    <t>G21050005</t>
  </si>
  <si>
    <t>M001320</t>
  </si>
  <si>
    <t>M001320</t>
  </si>
  <si>
    <t xml:space="preserve">.EQ = LA(70) * 0.00/100 '퇴직공제부금비'
</t>
  </si>
  <si>
    <t>덤프트럭   2.5 톤</t>
  </si>
  <si>
    <t>#10 중기운반비</t>
  </si>
  <si>
    <t>2. 설치 및 해체</t>
  </si>
  <si>
    <t>'.보통인부:'~L085~ * {B} *  {C}'인' = ?LA+</t>
  </si>
  <si>
    <t>PE안전휀스</t>
  </si>
  <si>
    <t>형    식</t>
  </si>
  <si>
    <t>굴삭기(타이어)   0.18 M3</t>
  </si>
  <si>
    <t>&gt;&gt;&gt;' 합   계'</t>
  </si>
  <si>
    <t xml:space="preserve">    1) 부단수 할 정자관</t>
  </si>
  <si>
    <t>0.57 M3</t>
  </si>
  <si>
    <t xml:space="preserve">EQ=TOT(70)*0.50/100
</t>
  </si>
  <si>
    <t>No.13 소화전 표지판 설치</t>
  </si>
  <si>
    <t>QDECCMA</t>
  </si>
  <si>
    <t>명        칭</t>
  </si>
  <si>
    <t xml:space="preserve">    Q = 3600*q*K*f*E/Cm =?'㎥/hr'</t>
  </si>
  <si>
    <t>'   합  계                               1        2        1   '</t>
  </si>
  <si>
    <t>'   경    비 :'~E0072040055.E~ / {Q} =?EQ+</t>
  </si>
  <si>
    <t xml:space="preserve">  '노 무 비 :' {B}'TON' * ~SA07600.L~ = ?LA+</t>
  </si>
  <si>
    <t>.sang=900, jung=700, kwan=679</t>
  </si>
  <si>
    <t>E0021050010</t>
  </si>
  <si>
    <t>BB-2, #467</t>
  </si>
  <si>
    <t>QLINC1</t>
  </si>
  <si>
    <t>#14 거푸집</t>
  </si>
  <si>
    <t>100x100</t>
  </si>
  <si>
    <t>100x100</t>
  </si>
  <si>
    <t>#.10</t>
  </si>
  <si>
    <t xml:space="preserve">252_1_6+ = </t>
  </si>
  <si>
    <t>4</t>
  </si>
  <si>
    <t>건설표준품셈(토목) : 6-2-1</t>
  </si>
  <si>
    <t xml:space="preserve">   1.부설 및 접합</t>
  </si>
  <si>
    <t>M2</t>
  </si>
  <si>
    <t xml:space="preserve"> 1. 기계: B.H 0.2㎥(50%)</t>
  </si>
  <si>
    <t>M4332041</t>
  </si>
  <si>
    <t>중기사용료목록</t>
  </si>
  <si>
    <t>No.3</t>
  </si>
  <si>
    <t xml:space="preserve">    2) 아스팔트유제</t>
  </si>
  <si>
    <t>260</t>
  </si>
  <si>
    <t>1. 재료비 (32.7%)</t>
  </si>
  <si>
    <t xml:space="preserve">   ~GTR105040.E~ / 1.1 / 10.5  = ?EQ+</t>
  </si>
  <si>
    <t xml:space="preserve">    t2 = 1/15*60*2 =?'min'</t>
  </si>
  <si>
    <t>물자/111/</t>
  </si>
  <si>
    <t xml:space="preserve">R                                                                                                   </t>
  </si>
  <si>
    <t>작업시간 (분)</t>
  </si>
  <si>
    <t>#8 소파보수(포장복구)</t>
  </si>
  <si>
    <t>모래(도착도)</t>
  </si>
  <si>
    <t>No.8  주철관 절단</t>
  </si>
  <si>
    <t xml:space="preserve">   시멘트벽돌쌓기</t>
  </si>
  <si>
    <t>ℓ</t>
  </si>
  <si>
    <t xml:space="preserve"> MA = LA(20,0,30)*(2/100)</t>
  </si>
  <si>
    <t xml:space="preserve">A_x0002_24_1_1 = </t>
  </si>
  <si>
    <t>&gt;&gt;'    계 :'</t>
  </si>
  <si>
    <t xml:space="preserve">크레인-50                               </t>
  </si>
  <si>
    <t>#.4</t>
  </si>
  <si>
    <t xml:space="preserve">    4) 사토(현장-사토장, L=10.0km)</t>
  </si>
  <si>
    <t xml:space="preserve"> 가. 진동+타이어 로울러 (2.5TON)</t>
  </si>
  <si>
    <t>합판6회(간단)</t>
  </si>
  <si>
    <t>QMINC2</t>
  </si>
  <si>
    <t>중기사용료</t>
  </si>
  <si>
    <t>220</t>
  </si>
  <si>
    <t>.D=0.11</t>
  </si>
  <si>
    <t xml:space="preserve">   소   계 :</t>
  </si>
  <si>
    <t xml:space="preserve">   '재 료 비 :' ~E0003020057.M~ / {Q} = ?MA+</t>
  </si>
  <si>
    <t>식</t>
  </si>
  <si>
    <t xml:space="preserve">EA    </t>
  </si>
  <si>
    <t>G72040055</t>
  </si>
  <si>
    <t>#5 사토(현장-사토장, L=10.0km) | BH0.2 + D/T4.5TON|㎥</t>
  </si>
  <si>
    <t>2022-06-09 23:31:14</t>
  </si>
  <si>
    <t xml:space="preserve">MA100                                                                                               </t>
  </si>
  <si>
    <t xml:space="preserve">    5. 소             계</t>
  </si>
  <si>
    <t xml:space="preserve">  '재 료 비 :' {B}'TON' * ~SA07600.M~ = ?MA+</t>
  </si>
  <si>
    <t xml:space="preserve">CM+ = </t>
  </si>
  <si>
    <t xml:space="preserve">   '재 료 비 : '~E0021050005.M~ * {T2}*{A}*{D}=?EQ+</t>
  </si>
  <si>
    <t>'○ 1시간 작업량 :' Q = {A} / 8'hr' * 0.85 = ?'㎡/hr'</t>
  </si>
  <si>
    <t>.B=0.5</t>
  </si>
  <si>
    <t>.sang=900 ,jung=700 ,kwan=679</t>
  </si>
  <si>
    <t xml:space="preserve">L1                                                                                                  </t>
  </si>
  <si>
    <t>No.13</t>
  </si>
  <si>
    <t xml:space="preserve">    6) 상차 : 폐기물</t>
  </si>
  <si>
    <t>트럭 트랙터 및 평판트레일러</t>
  </si>
  <si>
    <t>중기야간할증계수</t>
  </si>
  <si>
    <t>굴삭기(무한궤도)+브레이카   0.2 M3</t>
  </si>
  <si>
    <t>170</t>
  </si>
  <si>
    <t xml:space="preserve">      '1) 시멘트 :' 346'㎏' / 40'㎏'</t>
  </si>
  <si>
    <t>□  의정부 소방서 비상소화장치</t>
  </si>
  <si>
    <t>환율(엔화)</t>
  </si>
  <si>
    <t xml:space="preserve"> ※ 건설표준품셈(토목) 1-10-1(P446)</t>
  </si>
  <si>
    <t>굴삭기(무한궤도)   0.2 M3</t>
  </si>
  <si>
    <t xml:space="preserve">      아스팔트포장깨기</t>
  </si>
  <si>
    <t>적용단가</t>
  </si>
  <si>
    <t xml:space="preserve">   조 적 공</t>
  </si>
  <si>
    <t>No.7</t>
  </si>
  <si>
    <t>4. 절 단</t>
  </si>
  <si>
    <t xml:space="preserve">248_1_5 = </t>
  </si>
  <si>
    <t>보조기층재(도착도)</t>
  </si>
  <si>
    <t>M0771007</t>
  </si>
  <si>
    <t>M0771007</t>
  </si>
  <si>
    <t>No.9</t>
  </si>
  <si>
    <t>EQ=LA(10)</t>
  </si>
  <si>
    <t xml:space="preserve">MA = MA(10,0,10)*(30/100)
</t>
  </si>
  <si>
    <t xml:space="preserve">  '재 료 비 :' ~E0044300400.M~ / {Q} =?MA+</t>
  </si>
  <si>
    <t xml:space="preserve">MA = </t>
  </si>
  <si>
    <t>경 비</t>
  </si>
  <si>
    <t xml:space="preserve">   공구손료</t>
  </si>
  <si>
    <t>'                                     20 TON   15 TON'</t>
  </si>
  <si>
    <t>HR</t>
  </si>
  <si>
    <t>제수변보호통(중형철개포함)</t>
  </si>
  <si>
    <t xml:space="preserve">   소화전 표지판</t>
  </si>
  <si>
    <t>Φ200㎜x100㎜</t>
  </si>
  <si>
    <t>(B.H0.2㎥+인력)</t>
  </si>
  <si>
    <t>재료비의5% 적용</t>
  </si>
  <si>
    <t>Φ200㎜x100㎜</t>
  </si>
  <si>
    <t>130</t>
  </si>
  <si>
    <t>130</t>
  </si>
  <si>
    <t>QLINCC</t>
  </si>
  <si>
    <t>적용일시</t>
  </si>
  <si>
    <t>KPDCIP0103</t>
  </si>
  <si>
    <t>물정/281/</t>
  </si>
  <si>
    <t xml:space="preserve">    1. 순  공  사  비</t>
  </si>
  <si>
    <t xml:space="preserve">31,769 천원  </t>
  </si>
  <si>
    <t>56900017123</t>
  </si>
  <si>
    <t>F</t>
  </si>
  <si>
    <t>동력분무기</t>
  </si>
  <si>
    <t>F</t>
  </si>
  <si>
    <t xml:space="preserve">.EQ = TOT(120) * 12.27/100 '노인장기요양보험료'
</t>
  </si>
  <si>
    <t xml:space="preserve">  '블레이드 :'(0.27/100)'개'* ~M8922017~=?MA+</t>
  </si>
  <si>
    <t>1.5 TON</t>
  </si>
  <si>
    <t>G99004020</t>
  </si>
  <si>
    <t>재료비단가소숫점</t>
  </si>
  <si>
    <t xml:space="preserve">      보조기층재</t>
  </si>
  <si>
    <t>No.7  KP덕타일주철 이형관 부설</t>
  </si>
  <si>
    <t>TB0A0004</t>
  </si>
  <si>
    <t>노무비</t>
  </si>
  <si>
    <t>60</t>
  </si>
  <si>
    <t>12×1220×2440㎜ (1급T-I)</t>
  </si>
  <si>
    <t>환율(장비가격10만불이상)</t>
  </si>
  <si>
    <t>소   계</t>
  </si>
  <si>
    <t>M9360003</t>
  </si>
  <si>
    <t>900,삼각(고휘도)</t>
  </si>
  <si>
    <t>소화전 표지판</t>
  </si>
  <si>
    <t>2. 인력(50%) &lt;건설표준품셈(공통) 3-1-2(P123)&gt;</t>
  </si>
  <si>
    <t>플레이트 콤팩터   1.5 TON</t>
  </si>
  <si>
    <t>주철이형관</t>
  </si>
  <si>
    <t>TON</t>
  </si>
  <si>
    <t xml:space="preserve">   '경    비 : '~E0021050005.E~ * {T2}*{A}*{D}=?EQ+</t>
  </si>
  <si>
    <t xml:space="preserve">                                                                                                    </t>
  </si>
  <si>
    <t>G06020150</t>
  </si>
  <si>
    <t xml:space="preserve"> ※한국수자원공사 적산 기준(토목)</t>
  </si>
  <si>
    <t>#10 중기운반비 | L=5km|식</t>
  </si>
  <si>
    <t>10 TON</t>
  </si>
  <si>
    <t xml:space="preserve">   la() * 0.01 =?MA+</t>
  </si>
  <si>
    <t>20</t>
  </si>
  <si>
    <t xml:space="preserve">    '노무비:' ~E0016300080.L~ / {Q} = ?LA+</t>
  </si>
  <si>
    <t>56900017108</t>
  </si>
  <si>
    <t>10 TON</t>
  </si>
  <si>
    <t>20</t>
  </si>
  <si>
    <t>MZAKP00304</t>
  </si>
  <si>
    <t>(직노+간노+재료비)*8.3%</t>
  </si>
  <si>
    <t xml:space="preserve">MA110                                                                                               </t>
  </si>
  <si>
    <t>Φ40mm이하</t>
  </si>
  <si>
    <t xml:space="preserve">   비상소화장치(소화전포함, 펌프미포함)</t>
  </si>
  <si>
    <t>MZAKP00304</t>
  </si>
  <si>
    <t>Φ40mm이하</t>
  </si>
  <si>
    <t>320-400 MM</t>
  </si>
  <si>
    <t>0</t>
  </si>
  <si>
    <t xml:space="preserve">A_x0002_37_1_1+ = </t>
  </si>
  <si>
    <t xml:space="preserve">   '재 료 비 :' ~E0017300015.M~ / {Q} = ?MA+</t>
  </si>
  <si>
    <t xml:space="preserve">    ㎥당 소요량:</t>
  </si>
  <si>
    <t xml:space="preserve">254_1_5 = </t>
  </si>
  <si>
    <t>HBABD040</t>
  </si>
  <si>
    <t>재료비금액소숫점</t>
  </si>
  <si>
    <t xml:space="preserve">       계 :</t>
  </si>
  <si>
    <t xml:space="preserve">     ({A} * ~M4332041~)*{J} =?MA:S1</t>
  </si>
  <si>
    <t>'※한국수자원공사 적산 기준(토목)'</t>
  </si>
  <si>
    <t>재료비할증계수(야간)</t>
  </si>
  <si>
    <t>2022-06-09 23:31:58</t>
  </si>
  <si>
    <t>'=============================================================='</t>
  </si>
  <si>
    <t>30% 적용</t>
  </si>
  <si>
    <t>#.6</t>
  </si>
  <si>
    <t xml:space="preserve">     1.1 토     공</t>
  </si>
  <si>
    <t xml:space="preserve">23,471 천원  </t>
  </si>
  <si>
    <t>0.2 M3용</t>
  </si>
  <si>
    <t>1500x900x410</t>
  </si>
  <si>
    <t>Page</t>
  </si>
  <si>
    <t xml:space="preserve">LA = MA(10,0,10) * (30/100)
</t>
  </si>
  <si>
    <t>'.경  비:'~E0002010020.E~ / Q * {A} = ?EQ+</t>
  </si>
  <si>
    <t xml:space="preserve">   '경    비 : '~E0002010021.E~ / {Q} =?EQ+</t>
  </si>
  <si>
    <t>중 기 명</t>
  </si>
  <si>
    <t>비상소화장치(소화전 미포함)</t>
  </si>
  <si>
    <t>G00020</t>
  </si>
  <si>
    <t>QLINCE</t>
  </si>
  <si>
    <t>환율(IMF특별인출권)</t>
  </si>
  <si>
    <t xml:space="preserve"> =============================================================</t>
  </si>
  <si>
    <t xml:space="preserve">  현  장  --------&gt;   현장입구   --------&gt;   사토장</t>
  </si>
  <si>
    <t>MZZ9710</t>
  </si>
  <si>
    <t>No.15</t>
  </si>
  <si>
    <t>트럭 트랙터 및 평판트레일러   20 TON</t>
  </si>
  <si>
    <t>G27020020</t>
  </si>
  <si>
    <t xml:space="preserve">    6) KP이탈방지압륜접합</t>
  </si>
  <si>
    <t>#.8</t>
  </si>
  <si>
    <t>No.1</t>
  </si>
  <si>
    <t xml:space="preserve">.LA=LA(270,0,280)
.MA=MA(270,0,280)
.EQ=EQ(270,0,280)
</t>
  </si>
  <si>
    <t>4.85Kw</t>
  </si>
  <si>
    <t>G00060</t>
  </si>
  <si>
    <t>중기전역변수</t>
  </si>
  <si>
    <t>MZZ9750</t>
  </si>
  <si>
    <t>'   진동롤라      2.5 TON                          1           '</t>
  </si>
  <si>
    <t>M1003000</t>
  </si>
  <si>
    <t xml:space="preserve">   '재 료 비 :' ~E0006020025.M~ / {Q}  = ?MA+</t>
  </si>
  <si>
    <t>물정/부394/</t>
  </si>
  <si>
    <t>MZZ9750</t>
  </si>
  <si>
    <t>M1003000</t>
  </si>
  <si>
    <t xml:space="preserve">   '경    비 :' ~E0013050007.E~ / {Q} = ?EQ+</t>
  </si>
  <si>
    <t>QH2</t>
  </si>
  <si>
    <t xml:space="preserve">      주철이형관</t>
  </si>
  <si>
    <t>1150x1350x650</t>
  </si>
  <si>
    <t>게이트 밸브</t>
  </si>
  <si>
    <t>KSJSB0200</t>
  </si>
  <si>
    <t xml:space="preserve">      소   계</t>
  </si>
  <si>
    <t xml:space="preserve">22_1_1+ = </t>
  </si>
  <si>
    <t xml:space="preserve">   시멘트모르터</t>
  </si>
  <si>
    <t xml:space="preserve">   Q = 3600*q*K*f*E/Cm =?'㎥/hr'</t>
  </si>
  <si>
    <t xml:space="preserve">A_x0002_42_1_1+ = </t>
  </si>
  <si>
    <t>No.16 교통통제및안전처리</t>
  </si>
  <si>
    <t>치즐</t>
  </si>
  <si>
    <t xml:space="preserve">     3.3. 고 용 보 험 료</t>
  </si>
  <si>
    <t xml:space="preserve">   외송각재</t>
  </si>
  <si>
    <t>GTR105040</t>
  </si>
  <si>
    <t>1150x1350x650-설치도</t>
  </si>
  <si>
    <t>M000001</t>
  </si>
  <si>
    <t>6</t>
  </si>
  <si>
    <t>QLINC3</t>
  </si>
  <si>
    <t>노임</t>
  </si>
  <si>
    <t>No.9  KP이탈방지압륜접합</t>
  </si>
  <si>
    <t xml:space="preserve">    계 :</t>
  </si>
  <si>
    <t>QDECPMA</t>
  </si>
  <si>
    <t>노임할증계수(일반구간:야간)</t>
  </si>
  <si>
    <t>QH32</t>
  </si>
  <si>
    <t>시간당노임산출계수(일반구간)</t>
  </si>
  <si>
    <t xml:space="preserve">MA120                                                                                               </t>
  </si>
  <si>
    <t xml:space="preserve">   '노 무 비 :' ~E0013060025.L~ / {Q} = ?LA+</t>
  </si>
  <si>
    <t>인</t>
  </si>
  <si>
    <t>&gt; '소계'</t>
  </si>
  <si>
    <t xml:space="preserve">36,938 천원  </t>
  </si>
  <si>
    <t>No.4  부단수 할정자관 접합및부설</t>
  </si>
  <si>
    <t>소화전및 표지판 재설치</t>
  </si>
  <si>
    <t>인</t>
  </si>
  <si>
    <t>G03020057</t>
  </si>
  <si>
    <t>RSC-3,4</t>
  </si>
  <si>
    <t>G02010020</t>
  </si>
  <si>
    <t>물자/154/</t>
  </si>
  <si>
    <t>RSC-3,4</t>
  </si>
  <si>
    <t>진동롤러(자주식)</t>
  </si>
  <si>
    <t>단 위</t>
  </si>
  <si>
    <t>제수밸브</t>
  </si>
  <si>
    <t xml:space="preserve">    1) 소파보수(포장복구)</t>
  </si>
  <si>
    <t xml:space="preserve">   t1 = ({CM} * {N}) / (60 * {Eo}) = ?'MIN'</t>
  </si>
  <si>
    <t>단 위</t>
  </si>
  <si>
    <t>E0013050007</t>
  </si>
  <si>
    <t>&gt;&gt;'  계'</t>
  </si>
  <si>
    <t>'   노 무 비 :'~E0072040055.L~ / {Q} =?LA+</t>
  </si>
  <si>
    <t>830×1300</t>
  </si>
  <si>
    <t>물정/646/</t>
  </si>
  <si>
    <t xml:space="preserve">   비상소화장치(소화전 미포함)</t>
  </si>
  <si>
    <t>830×1300</t>
  </si>
  <si>
    <t>.A=0.50</t>
  </si>
  <si>
    <t>E0006020045</t>
  </si>
  <si>
    <t>노x3.70%</t>
  </si>
  <si>
    <t>2. 포 설</t>
  </si>
  <si>
    <t>E0072100485</t>
  </si>
  <si>
    <t>물정/219/</t>
  </si>
  <si>
    <t>물정/1152/</t>
  </si>
  <si>
    <t>10±2.5cm 550kg  1:3</t>
  </si>
  <si>
    <t xml:space="preserve">     1) 중기운반비</t>
  </si>
  <si>
    <t>&gt; '소 계'</t>
  </si>
  <si>
    <t>'   재 료 비 :'~E0072040055.M~ / {Q} =?MA+</t>
  </si>
  <si>
    <t>.sang=1125 ,jung=1000 ,kwan=674</t>
  </si>
  <si>
    <t>100000000001</t>
  </si>
  <si>
    <t xml:space="preserve">.EQ=(TOT(250)) * 10 / 100'부가가치세'
</t>
  </si>
  <si>
    <t>M000005</t>
  </si>
  <si>
    <t>SOE5700</t>
  </si>
  <si>
    <t>KAABA0100</t>
  </si>
  <si>
    <t>2</t>
  </si>
  <si>
    <t>D80mm~D600mm</t>
  </si>
  <si>
    <t xml:space="preserve">   '노 무 비 : '~E0027020020.L~ * {CM}*{A}*{D}=?EQ+</t>
  </si>
  <si>
    <t xml:space="preserve">         계 :</t>
  </si>
  <si>
    <t>56900017002</t>
  </si>
  <si>
    <t>물가자료</t>
  </si>
  <si>
    <t>노임할증계수(일반구간:주야간)</t>
  </si>
  <si>
    <t xml:space="preserve">    11.도 급 예 정 액</t>
  </si>
  <si>
    <t xml:space="preserve">    4)  시멘트</t>
  </si>
  <si>
    <t>EQ=LA(20,0,30)*2/100= ?</t>
  </si>
  <si>
    <t>4. '왕복 2회(공사시작,공사종료) :'A=2'회'</t>
  </si>
  <si>
    <t>#9 안전보호책설치및철거 | (PE,1500 X 880)|m</t>
  </si>
  <si>
    <t>'○ 물운반 :' B=2000'ℓ'/ 100'M'/ 1000 = ?'ton'</t>
  </si>
  <si>
    <t>비상소화장치(소화전포함, 펌프미포함)</t>
  </si>
  <si>
    <t xml:space="preserve">199_1_6 = </t>
  </si>
  <si>
    <t>G16300080</t>
  </si>
  <si>
    <t>물정/99/</t>
  </si>
  <si>
    <t>합    계</t>
  </si>
  <si>
    <t>900,원형(고휘도)</t>
  </si>
  <si>
    <t xml:space="preserve">㎥    </t>
  </si>
  <si>
    <t>#.2</t>
  </si>
  <si>
    <t xml:space="preserve">     2) 제수밸브</t>
  </si>
  <si>
    <t>&lt;공통품셈 9-37-2 물 탱크(살수차)의 손료 및 장비&gt;</t>
  </si>
  <si>
    <t>'  노무비 :'~E0002010020.L~ / Q * {A} = ?LA</t>
  </si>
  <si>
    <t xml:space="preserve">   가.합판</t>
  </si>
  <si>
    <t>직노x 14.4%</t>
  </si>
  <si>
    <t xml:space="preserve">     1.2 관 로 공</t>
  </si>
  <si>
    <t>No.15  교통안전 표지판</t>
  </si>
  <si>
    <t>래머   80 KG</t>
  </si>
  <si>
    <t xml:space="preserve">     1.3 포 장 공</t>
  </si>
  <si>
    <t>.sang=1286,jung=357, kwan=955</t>
  </si>
  <si>
    <t xml:space="preserve">L     </t>
  </si>
  <si>
    <t>물</t>
  </si>
  <si>
    <t>QLINCA</t>
  </si>
  <si>
    <t>숫자</t>
  </si>
  <si>
    <t>1.3 포 장 공</t>
  </si>
  <si>
    <t>건설표준품셈(토목) : 6-2-3(P517)</t>
  </si>
  <si>
    <t>'============================================================= '</t>
  </si>
  <si>
    <t xml:space="preserve">ea    </t>
  </si>
  <si>
    <t xml:space="preserve">MA130                                                                                               </t>
  </si>
  <si>
    <t>No.11</t>
  </si>
  <si>
    <t>콘크리트공</t>
  </si>
  <si>
    <t>1.2 관 로 공</t>
  </si>
  <si>
    <t xml:space="preserve">  CM = 5.0 + 10 + 5 + 20 + {T2} = ?</t>
  </si>
  <si>
    <t>H0001010</t>
  </si>
  <si>
    <t>H0001010</t>
  </si>
  <si>
    <t xml:space="preserve">   나.각재</t>
  </si>
  <si>
    <t>#8 소파보수(포장복구) | C-TYPE|M2</t>
  </si>
  <si>
    <t xml:space="preserve">   '노 무 비 : '~E0006020045.L~ / {Q} = ?LA+</t>
  </si>
  <si>
    <t>&gt;&gt;'계 :'</t>
  </si>
  <si>
    <t xml:space="preserve">원    </t>
  </si>
  <si>
    <t>아스팔트콘트리트(기층)</t>
  </si>
  <si>
    <t>No.5</t>
  </si>
  <si>
    <t/>
  </si>
  <si>
    <t>상하수도공사  공기30일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</si>
</sst>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General;\-General\,&quot;&quot;;@"/>
    <numFmt numFmtId="180" formatCode="#,##0.00####;\-#,##0.00####;@"/>
    <numFmt numFmtId="181" formatCode="#,###.000;\-#,###.000;&quot;&quot;;@"/>
    <numFmt numFmtId="182" formatCode="#,###.00;\-#,###.00;&quot;&quot;;@"/>
    <numFmt numFmtId="183" formatCode="#,###;\-#,###;&quot;&quot;;@"/>
  </numFmts>
  <fonts count="41">
    <font>
      <sz val="8"/>
      <color indexed="8"/>
      <name val="굴림"/>
      <family val="3"/>
    </font>
    <font>
      <sz val="10"/>
      <color indexed="8"/>
      <name val="Arial"/>
      <family val="2"/>
    </font>
    <font>
      <u val="single"/>
      <sz val="8"/>
      <color indexed="12"/>
      <name val="굴림"/>
      <family val="3"/>
    </font>
    <font>
      <sz val="8"/>
      <color indexed="30"/>
      <name val="굴림"/>
      <family val="3"/>
    </font>
    <font>
      <sz val="8"/>
      <color indexed="22"/>
      <name val="굴림"/>
      <family val="3"/>
    </font>
    <font>
      <u val="single"/>
      <sz val="8"/>
      <color indexed="30"/>
      <name val="굴림"/>
      <family val="3"/>
    </font>
    <font>
      <sz val="8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double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thin"/>
      <right style="thin"/>
      <top/>
      <bottom style="dashed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dashed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178" fontId="0" fillId="0" borderId="0">
      <alignment/>
      <protection/>
    </xf>
    <xf numFmtId="45" fontId="0" fillId="0" borderId="0">
      <alignment/>
      <protection/>
    </xf>
  </cellStyleXfs>
  <cellXfs count="67">
    <xf numFmtId="0" fontId="0" fillId="0" borderId="0" xfId="0" applyAlignment="1">
      <alignment/>
    </xf>
    <xf numFmtId="179" fontId="0" fillId="0" borderId="10" xfId="0" applyNumberFormat="1" applyBorder="1" applyAlignment="1">
      <alignment horizontal="center" vertical="center"/>
    </xf>
    <xf numFmtId="179" fontId="0" fillId="0" borderId="10" xfId="0" applyNumberFormat="1" applyBorder="1" applyAlignment="1">
      <alignment vertical="center"/>
    </xf>
    <xf numFmtId="179" fontId="0" fillId="0" borderId="11" xfId="0" applyNumberFormat="1" applyBorder="1" applyAlignment="1">
      <alignment vertical="center"/>
    </xf>
    <xf numFmtId="179" fontId="0" fillId="0" borderId="12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80" fontId="0" fillId="33" borderId="10" xfId="0" applyNumberForma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3" xfId="0" applyNumberFormat="1" applyBorder="1" applyAlignment="1">
      <alignment vertical="center"/>
    </xf>
    <xf numFmtId="179" fontId="0" fillId="0" borderId="14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9" fontId="0" fillId="0" borderId="16" xfId="0" applyNumberFormat="1" applyBorder="1" applyAlignment="1">
      <alignment vertical="center"/>
    </xf>
    <xf numFmtId="179" fontId="0" fillId="0" borderId="17" xfId="0" applyNumberFormat="1" applyBorder="1" applyAlignment="1">
      <alignment vertical="center"/>
    </xf>
    <xf numFmtId="179" fontId="0" fillId="36" borderId="18" xfId="0" applyNumberFormat="1" applyFill="1" applyBorder="1" applyAlignment="1">
      <alignment horizontal="center" vertical="center"/>
    </xf>
    <xf numFmtId="179" fontId="0" fillId="36" borderId="19" xfId="0" applyNumberFormat="1" applyFill="1" applyBorder="1" applyAlignment="1">
      <alignment horizontal="center" vertical="center"/>
    </xf>
    <xf numFmtId="179" fontId="0" fillId="36" borderId="20" xfId="0" applyNumberFormat="1" applyFill="1" applyBorder="1" applyAlignment="1">
      <alignment horizontal="center" vertical="center"/>
    </xf>
    <xf numFmtId="179" fontId="0" fillId="36" borderId="20" xfId="0" applyNumberFormat="1" applyFill="1" applyBorder="1" applyAlignment="1">
      <alignment horizontal="center" vertical="center" wrapText="1"/>
    </xf>
    <xf numFmtId="179" fontId="0" fillId="0" borderId="14" xfId="0" applyNumberFormat="1" applyBorder="1" applyAlignment="1">
      <alignment vertical="center" wrapText="1"/>
    </xf>
    <xf numFmtId="179" fontId="0" fillId="0" borderId="17" xfId="0" applyNumberFormat="1" applyBorder="1" applyAlignment="1">
      <alignment vertical="center" wrapText="1"/>
    </xf>
    <xf numFmtId="179" fontId="0" fillId="36" borderId="19" xfId="0" applyNumberFormat="1" applyFill="1" applyBorder="1" applyAlignment="1">
      <alignment horizontal="center" vertical="center" wrapText="1"/>
    </xf>
    <xf numFmtId="179" fontId="0" fillId="0" borderId="10" xfId="0" applyNumberFormat="1" applyBorder="1" applyAlignment="1">
      <alignment vertical="center" wrapText="1"/>
    </xf>
    <xf numFmtId="179" fontId="0" fillId="0" borderId="16" xfId="0" applyNumberFormat="1" applyBorder="1" applyAlignment="1">
      <alignment vertical="center" wrapText="1"/>
    </xf>
    <xf numFmtId="181" fontId="0" fillId="0" borderId="10" xfId="0" applyNumberFormat="1" applyBorder="1" applyAlignment="1">
      <alignment vertical="center"/>
    </xf>
    <xf numFmtId="181" fontId="0" fillId="0" borderId="16" xfId="0" applyNumberFormat="1" applyBorder="1" applyAlignment="1">
      <alignment vertical="center"/>
    </xf>
    <xf numFmtId="179" fontId="0" fillId="36" borderId="16" xfId="0" applyNumberFormat="1" applyFill="1" applyBorder="1" applyAlignment="1">
      <alignment horizontal="center" vertical="center"/>
    </xf>
    <xf numFmtId="182" fontId="0" fillId="0" borderId="10" xfId="0" applyNumberFormat="1" applyBorder="1" applyAlignment="1">
      <alignment vertical="center"/>
    </xf>
    <xf numFmtId="183" fontId="0" fillId="0" borderId="10" xfId="0" applyNumberFormat="1" applyBorder="1" applyAlignment="1">
      <alignment vertical="center"/>
    </xf>
    <xf numFmtId="182" fontId="0" fillId="0" borderId="16" xfId="0" applyNumberFormat="1" applyBorder="1" applyAlignment="1">
      <alignment vertical="center"/>
    </xf>
    <xf numFmtId="183" fontId="0" fillId="0" borderId="16" xfId="0" applyNumberFormat="1" applyBorder="1" applyAlignment="1">
      <alignment vertical="center"/>
    </xf>
    <xf numFmtId="179" fontId="0" fillId="36" borderId="21" xfId="0" applyNumberFormat="1" applyFill="1" applyBorder="1" applyAlignment="1">
      <alignment horizontal="center" vertical="center"/>
    </xf>
    <xf numFmtId="18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182" fontId="0" fillId="0" borderId="0" xfId="0" applyNumberFormat="1" applyAlignment="1">
      <alignment vertical="center"/>
    </xf>
    <xf numFmtId="183" fontId="0" fillId="0" borderId="11" xfId="0" applyNumberFormat="1" applyBorder="1" applyAlignment="1">
      <alignment vertical="center"/>
    </xf>
    <xf numFmtId="183" fontId="0" fillId="0" borderId="22" xfId="0" applyNumberFormat="1" applyBorder="1" applyAlignment="1">
      <alignment vertical="center"/>
    </xf>
    <xf numFmtId="183" fontId="0" fillId="0" borderId="23" xfId="0" applyNumberFormat="1" applyBorder="1" applyAlignment="1">
      <alignment vertical="center"/>
    </xf>
    <xf numFmtId="183" fontId="0" fillId="0" borderId="24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9" fontId="0" fillId="0" borderId="25" xfId="0" applyNumberFormat="1" applyBorder="1" applyAlignment="1">
      <alignment vertical="center"/>
    </xf>
    <xf numFmtId="0" fontId="0" fillId="0" borderId="26" xfId="0" applyBorder="1" applyAlignment="1">
      <alignment/>
    </xf>
    <xf numFmtId="0" fontId="0" fillId="0" borderId="25" xfId="0" applyBorder="1" applyAlignment="1">
      <alignment vertical="center"/>
    </xf>
    <xf numFmtId="179" fontId="0" fillId="0" borderId="27" xfId="0" applyNumberFormat="1" applyBorder="1" applyAlignment="1">
      <alignment vertical="center"/>
    </xf>
    <xf numFmtId="179" fontId="0" fillId="0" borderId="28" xfId="0" applyNumberFormat="1" applyBorder="1" applyAlignment="1">
      <alignment vertical="center" wrapText="1"/>
    </xf>
    <xf numFmtId="183" fontId="0" fillId="0" borderId="28" xfId="0" applyNumberFormat="1" applyBorder="1" applyAlignment="1">
      <alignment vertical="center" wrapText="1"/>
    </xf>
    <xf numFmtId="183" fontId="0" fillId="0" borderId="29" xfId="0" applyNumberFormat="1" applyBorder="1" applyAlignment="1">
      <alignment vertical="center" wrapText="1"/>
    </xf>
    <xf numFmtId="183" fontId="0" fillId="0" borderId="30" xfId="0" applyNumberFormat="1" applyBorder="1" applyAlignment="1">
      <alignment vertical="center" wrapText="1"/>
    </xf>
    <xf numFmtId="179" fontId="0" fillId="0" borderId="31" xfId="0" applyNumberFormat="1" applyBorder="1" applyAlignment="1">
      <alignment vertical="center" wrapText="1"/>
    </xf>
    <xf numFmtId="183" fontId="0" fillId="0" borderId="31" xfId="0" applyNumberFormat="1" applyBorder="1" applyAlignment="1">
      <alignment vertical="center" wrapText="1"/>
    </xf>
    <xf numFmtId="0" fontId="5" fillId="0" borderId="0" xfId="0" applyFont="1" applyAlignment="1">
      <alignment vertical="center"/>
    </xf>
    <xf numFmtId="179" fontId="0" fillId="0" borderId="13" xfId="0" applyNumberFormat="1" applyBorder="1" applyAlignment="1">
      <alignment horizontal="center" vertical="center"/>
    </xf>
    <xf numFmtId="179" fontId="0" fillId="0" borderId="15" xfId="0" applyNumberFormat="1" applyBorder="1" applyAlignment="1">
      <alignment horizontal="center" vertical="center"/>
    </xf>
    <xf numFmtId="179" fontId="0" fillId="0" borderId="16" xfId="0" applyNumberFormat="1" applyBorder="1" applyAlignment="1">
      <alignment horizontal="center" vertical="center"/>
    </xf>
    <xf numFmtId="179" fontId="0" fillId="0" borderId="14" xfId="0" applyNumberFormat="1" applyBorder="1" applyAlignment="1">
      <alignment horizontal="center" vertical="center" wrapText="1"/>
    </xf>
    <xf numFmtId="179" fontId="0" fillId="0" borderId="17" xfId="0" applyNumberFormat="1" applyBorder="1" applyAlignment="1">
      <alignment horizontal="center" vertical="center" wrapText="1"/>
    </xf>
    <xf numFmtId="179" fontId="0" fillId="36" borderId="32" xfId="0" applyNumberFormat="1" applyFill="1" applyBorder="1" applyAlignment="1">
      <alignment horizontal="center" vertical="center"/>
    </xf>
    <xf numFmtId="179" fontId="0" fillId="36" borderId="33" xfId="0" applyNumberFormat="1" applyFill="1" applyBorder="1" applyAlignment="1">
      <alignment horizontal="center" vertical="center" wrapText="1"/>
    </xf>
    <xf numFmtId="179" fontId="0" fillId="36" borderId="17" xfId="0" applyNumberFormat="1" applyFill="1" applyBorder="1" applyAlignment="1">
      <alignment horizontal="center" vertical="center" wrapText="1"/>
    </xf>
    <xf numFmtId="179" fontId="0" fillId="36" borderId="34" xfId="0" applyNumberFormat="1" applyFill="1" applyBorder="1" applyAlignment="1">
      <alignment horizontal="center" vertical="center"/>
    </xf>
    <xf numFmtId="179" fontId="0" fillId="36" borderId="15" xfId="0" applyNumberFormat="1" applyFill="1" applyBorder="1" applyAlignment="1">
      <alignment horizontal="center" vertical="center"/>
    </xf>
    <xf numFmtId="179" fontId="0" fillId="36" borderId="16" xfId="0" applyNumberFormat="1" applyFill="1" applyBorder="1" applyAlignment="1">
      <alignment horizontal="center" vertical="center"/>
    </xf>
    <xf numFmtId="0" fontId="0" fillId="0" borderId="0" xfId="0" applyAlignment="1">
      <alignment/>
    </xf>
    <xf numFmtId="179" fontId="0" fillId="36" borderId="33" xfId="0" applyNumberFormat="1" applyFill="1" applyBorder="1" applyAlignment="1">
      <alignment horizontal="center" vertical="center"/>
    </xf>
    <xf numFmtId="179" fontId="0" fillId="36" borderId="17" xfId="0" applyNumberForma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92"/>
  <sheetViews>
    <sheetView tabSelected="1" zoomScalePageLayoutView="0" workbookViewId="0" topLeftCell="A1">
      <selection activeCell="G10" sqref="G10"/>
    </sheetView>
  </sheetViews>
  <sheetFormatPr defaultColWidth="9.33203125" defaultRowHeight="18" customHeight="1"/>
  <cols>
    <col min="1" max="1" width="25" style="0" customWidth="1"/>
    <col min="2" max="2" width="20" style="0" customWidth="1"/>
    <col min="3" max="3" width="8" style="0" customWidth="1"/>
    <col min="4" max="4" width="5" style="0" customWidth="1"/>
    <col min="5" max="12" width="13" style="0" customWidth="1"/>
    <col min="13" max="13" width="10" style="0" customWidth="1"/>
    <col min="14" max="59" width="0" style="0" hidden="1" customWidth="1"/>
  </cols>
  <sheetData>
    <row r="1" ht="18" customHeight="1">
      <c r="A1" t="s">
        <v>169</v>
      </c>
    </row>
    <row r="2" spans="1:13" ht="18" customHeight="1">
      <c r="A2" s="61" t="s">
        <v>216</v>
      </c>
      <c r="B2" s="58" t="s">
        <v>565</v>
      </c>
      <c r="C2" s="58" t="s">
        <v>744</v>
      </c>
      <c r="D2" s="58" t="s">
        <v>458</v>
      </c>
      <c r="E2" s="58" t="s">
        <v>1261</v>
      </c>
      <c r="F2" s="58" t="s">
        <v>1297</v>
      </c>
      <c r="G2" s="58" t="s">
        <v>884</v>
      </c>
      <c r="H2" s="58" t="s">
        <v>1297</v>
      </c>
      <c r="I2" s="58" t="s">
        <v>501</v>
      </c>
      <c r="J2" s="58" t="s">
        <v>1297</v>
      </c>
      <c r="K2" s="58" t="s">
        <v>93</v>
      </c>
      <c r="L2" s="58" t="s">
        <v>1297</v>
      </c>
      <c r="M2" s="59" t="s">
        <v>317</v>
      </c>
    </row>
    <row r="3" spans="1:25" ht="18" customHeight="1">
      <c r="A3" s="62" t="s">
        <v>1297</v>
      </c>
      <c r="B3" s="63" t="s">
        <v>1297</v>
      </c>
      <c r="C3" s="63" t="s">
        <v>1297</v>
      </c>
      <c r="D3" s="63" t="s">
        <v>1297</v>
      </c>
      <c r="E3" s="27" t="s">
        <v>292</v>
      </c>
      <c r="F3" s="27" t="s">
        <v>185</v>
      </c>
      <c r="G3" s="27" t="s">
        <v>292</v>
      </c>
      <c r="H3" s="27" t="s">
        <v>185</v>
      </c>
      <c r="I3" s="27" t="s">
        <v>292</v>
      </c>
      <c r="J3" s="27" t="s">
        <v>185</v>
      </c>
      <c r="K3" s="27" t="s">
        <v>292</v>
      </c>
      <c r="L3" s="27" t="s">
        <v>185</v>
      </c>
      <c r="M3" s="60" t="s">
        <v>1297</v>
      </c>
      <c r="S3" s="1" t="s">
        <v>406</v>
      </c>
      <c r="T3" s="1" t="s">
        <v>933</v>
      </c>
      <c r="U3" s="1" t="s">
        <v>431</v>
      </c>
      <c r="V3" s="1" t="s">
        <v>186</v>
      </c>
      <c r="W3" s="1" t="s">
        <v>77</v>
      </c>
      <c r="X3" s="1" t="s">
        <v>384</v>
      </c>
      <c r="Y3" s="1" t="s">
        <v>877</v>
      </c>
    </row>
    <row r="4" spans="1:15" ht="18" customHeight="1">
      <c r="A4" s="11" t="s">
        <v>1046</v>
      </c>
      <c r="B4" s="2" t="s">
        <v>909</v>
      </c>
      <c r="C4" s="2">
        <v>1</v>
      </c>
      <c r="D4" s="2" t="s">
        <v>1025</v>
      </c>
      <c r="F4" s="29">
        <f aca="true" t="shared" si="0" ref="F4:F35">H4+J4+L4</f>
        <v>0</v>
      </c>
      <c r="H4" s="29">
        <f>TRUNC(H6+H7+H8+H9+H10+H13+H14+H15+H16+H17+H18+H19+H20+H21+H22+H23+H24+H26+H27+H28+H30,0)</f>
        <v>0</v>
      </c>
      <c r="J4" s="29">
        <f>TRUNC(J6+J7+J8+J9+J10+J13+J14+J15+J16+J17+J18+J19+J20+J21+J22+J23+J24+J26+J27+J28+J30,0)</f>
        <v>0</v>
      </c>
      <c r="L4" s="29">
        <f>TRUNC(L6+L7+L8+L9+L10+L13+L14+L15+L16+L17+L18+L19+L20+L21+L22+L23+L24+L26+L27+L28+L30,0)</f>
        <v>0</v>
      </c>
      <c r="M4" s="20" t="s">
        <v>1297</v>
      </c>
      <c r="O4" t="s">
        <v>271</v>
      </c>
    </row>
    <row r="5" spans="1:18" ht="18" customHeight="1">
      <c r="A5" s="11" t="s">
        <v>1080</v>
      </c>
      <c r="B5" s="2" t="s">
        <v>1297</v>
      </c>
      <c r="C5" s="2"/>
      <c r="D5" s="2" t="s">
        <v>1297</v>
      </c>
      <c r="E5" s="29">
        <f aca="true" t="shared" si="1" ref="E5:E33">G5+I5+K5</f>
        <v>0</v>
      </c>
      <c r="F5" s="29">
        <f t="shared" si="0"/>
        <v>0</v>
      </c>
      <c r="G5" s="1"/>
      <c r="H5" s="29">
        <f>TRUNC(H6+H7+H8+H9+H10,0)</f>
        <v>0</v>
      </c>
      <c r="I5" s="1"/>
      <c r="J5" s="29">
        <f>TRUNC(J6+J7+J8+J9+J10,0)</f>
        <v>0</v>
      </c>
      <c r="K5" s="1"/>
      <c r="L5" s="29">
        <f>TRUNC(L6+L7+L8+L9+L10,0)</f>
        <v>0</v>
      </c>
      <c r="M5" s="20" t="s">
        <v>1297</v>
      </c>
      <c r="P5" t="s">
        <v>166</v>
      </c>
    </row>
    <row r="6" spans="1:61" ht="18" customHeight="1">
      <c r="A6" s="11" t="s">
        <v>1141</v>
      </c>
      <c r="B6" s="2" t="s">
        <v>1297</v>
      </c>
      <c r="C6" s="2">
        <v>1</v>
      </c>
      <c r="D6" s="2" t="s">
        <v>1025</v>
      </c>
      <c r="E6" s="29">
        <f t="shared" si="1"/>
        <v>0</v>
      </c>
      <c r="F6" s="29">
        <f t="shared" si="0"/>
        <v>0</v>
      </c>
      <c r="G6" s="29">
        <f>H34</f>
        <v>0</v>
      </c>
      <c r="H6" s="29">
        <f>TRUNC(G6*C6,0)</f>
        <v>0</v>
      </c>
      <c r="I6" s="29">
        <f>J34</f>
        <v>0</v>
      </c>
      <c r="J6" s="29">
        <f>TRUNC(I6*C6,0)</f>
        <v>0</v>
      </c>
      <c r="K6" s="29">
        <f>L34</f>
        <v>0</v>
      </c>
      <c r="L6" s="29">
        <f>TRUNC(K6*C6,0)</f>
        <v>0</v>
      </c>
      <c r="M6" s="20" t="s">
        <v>1297</v>
      </c>
      <c r="P6" t="s">
        <v>1113</v>
      </c>
      <c r="R6" t="s">
        <v>804</v>
      </c>
      <c r="BI6" s="52" t="str">
        <f>HYPERLINK("#내역서!A34","A22-19-11 →")</f>
        <v>A22-19-11 →</v>
      </c>
    </row>
    <row r="7" spans="1:61" ht="18" customHeight="1">
      <c r="A7" s="11" t="s">
        <v>1270</v>
      </c>
      <c r="B7" s="2" t="s">
        <v>1297</v>
      </c>
      <c r="C7" s="2">
        <v>1</v>
      </c>
      <c r="D7" s="2" t="s">
        <v>1025</v>
      </c>
      <c r="E7" s="29">
        <f t="shared" si="1"/>
        <v>0</v>
      </c>
      <c r="F7" s="29">
        <f t="shared" si="0"/>
        <v>0</v>
      </c>
      <c r="G7" s="29">
        <f>H43</f>
        <v>0</v>
      </c>
      <c r="H7" s="29">
        <f>TRUNC(G7*C7,0)</f>
        <v>0</v>
      </c>
      <c r="I7" s="29">
        <f>J43</f>
        <v>0</v>
      </c>
      <c r="J7" s="29">
        <f>TRUNC(I7*C7,0)</f>
        <v>0</v>
      </c>
      <c r="K7" s="29">
        <f>L43</f>
        <v>0</v>
      </c>
      <c r="L7" s="29">
        <f>TRUNC(K7*C7,0)</f>
        <v>0</v>
      </c>
      <c r="M7" s="20" t="s">
        <v>1297</v>
      </c>
      <c r="P7" t="s">
        <v>784</v>
      </c>
      <c r="R7" t="s">
        <v>137</v>
      </c>
      <c r="BI7" s="52" t="str">
        <f>HYPERLINK("#내역서!A43","A22-19-12 →")</f>
        <v>A22-19-12 →</v>
      </c>
    </row>
    <row r="8" spans="1:61" ht="18" customHeight="1">
      <c r="A8" s="11" t="s">
        <v>1273</v>
      </c>
      <c r="B8" s="2" t="s">
        <v>1297</v>
      </c>
      <c r="C8" s="2">
        <v>1</v>
      </c>
      <c r="D8" s="2" t="s">
        <v>1025</v>
      </c>
      <c r="E8" s="29">
        <f t="shared" si="1"/>
        <v>0</v>
      </c>
      <c r="F8" s="29">
        <f t="shared" si="0"/>
        <v>0</v>
      </c>
      <c r="G8" s="29">
        <f>H57</f>
        <v>0</v>
      </c>
      <c r="H8" s="29">
        <f>TRUNC(G8*C8,0)</f>
        <v>0</v>
      </c>
      <c r="I8" s="29">
        <f>J57</f>
        <v>0</v>
      </c>
      <c r="J8" s="29">
        <f>TRUNC(I8*C8,0)</f>
        <v>0</v>
      </c>
      <c r="K8" s="29">
        <f>L57</f>
        <v>0</v>
      </c>
      <c r="L8" s="29">
        <f>TRUNC(K8*C8,0)</f>
        <v>0</v>
      </c>
      <c r="M8" s="20" t="s">
        <v>1297</v>
      </c>
      <c r="P8" t="s">
        <v>450</v>
      </c>
      <c r="R8" t="s">
        <v>692</v>
      </c>
      <c r="BI8" s="52" t="str">
        <f>HYPERLINK("#내역서!A57","A22-19-13 →")</f>
        <v>A22-19-13 →</v>
      </c>
    </row>
    <row r="9" spans="1:61" ht="18" customHeight="1">
      <c r="A9" s="11" t="s">
        <v>810</v>
      </c>
      <c r="B9" s="2" t="s">
        <v>1297</v>
      </c>
      <c r="C9" s="2">
        <v>1</v>
      </c>
      <c r="D9" s="2" t="s">
        <v>1025</v>
      </c>
      <c r="E9" s="29">
        <f t="shared" si="1"/>
        <v>0</v>
      </c>
      <c r="F9" s="29">
        <f t="shared" si="0"/>
        <v>0</v>
      </c>
      <c r="G9" s="29">
        <f>H59</f>
        <v>0</v>
      </c>
      <c r="H9" s="29">
        <f>TRUNC(G9*C9,0)</f>
        <v>0</v>
      </c>
      <c r="I9" s="29">
        <f>J59</f>
        <v>0</v>
      </c>
      <c r="J9" s="29">
        <f>TRUNC(I9*C9,0)</f>
        <v>0</v>
      </c>
      <c r="K9" s="29">
        <f>L59</f>
        <v>0</v>
      </c>
      <c r="L9" s="29">
        <f>TRUNC(K9*C9,0)</f>
        <v>0</v>
      </c>
      <c r="M9" s="20" t="s">
        <v>1297</v>
      </c>
      <c r="P9" t="s">
        <v>139</v>
      </c>
      <c r="R9" t="s">
        <v>246</v>
      </c>
      <c r="BI9" s="52" t="str">
        <f>HYPERLINK("#내역서!A59","A22-19-14 →")</f>
        <v>A22-19-14 →</v>
      </c>
    </row>
    <row r="10" spans="1:61" ht="18" customHeight="1">
      <c r="A10" s="11" t="s">
        <v>319</v>
      </c>
      <c r="B10" s="2" t="s">
        <v>1297</v>
      </c>
      <c r="C10" s="2">
        <v>1</v>
      </c>
      <c r="D10" s="2" t="s">
        <v>1025</v>
      </c>
      <c r="E10" s="29">
        <f t="shared" si="1"/>
        <v>0</v>
      </c>
      <c r="F10" s="29">
        <f t="shared" si="0"/>
        <v>0</v>
      </c>
      <c r="G10" s="29">
        <f>H70</f>
        <v>0</v>
      </c>
      <c r="H10" s="29">
        <f>TRUNC(G10*C10,0)</f>
        <v>0</v>
      </c>
      <c r="I10" s="29">
        <f>J70</f>
        <v>0</v>
      </c>
      <c r="J10" s="29">
        <f>TRUNC(I10*C10,0)</f>
        <v>0</v>
      </c>
      <c r="K10" s="29">
        <f>L70</f>
        <v>0</v>
      </c>
      <c r="L10" s="29">
        <f>TRUNC(K10*C10,0)</f>
        <v>0</v>
      </c>
      <c r="M10" s="20" t="s">
        <v>1297</v>
      </c>
      <c r="P10" t="s">
        <v>1095</v>
      </c>
      <c r="R10" t="s">
        <v>919</v>
      </c>
      <c r="AA10" s="41" t="s">
        <v>148</v>
      </c>
      <c r="AB10" s="8">
        <f>(내역서!J6+내역서!J7+내역서!J8+내역서!J9+내역서!J10)</f>
        <v>0</v>
      </c>
      <c r="AC10" s="41" t="s">
        <v>491</v>
      </c>
      <c r="AD10" s="7">
        <f aca="true" t="shared" si="2" ref="AD10:AD26">$AB10</f>
        <v>0</v>
      </c>
      <c r="BI10" s="52" t="str">
        <f>HYPERLINK("#내역서!A70","A22-19-15 →")</f>
        <v>A22-19-15 →</v>
      </c>
    </row>
    <row r="11" spans="1:30" ht="18" customHeight="1">
      <c r="A11" s="11" t="s">
        <v>478</v>
      </c>
      <c r="B11" s="2" t="s">
        <v>1297</v>
      </c>
      <c r="C11" s="2"/>
      <c r="D11" s="2" t="s">
        <v>1297</v>
      </c>
      <c r="E11" s="29">
        <f t="shared" si="1"/>
        <v>0</v>
      </c>
      <c r="F11" s="29">
        <f t="shared" si="0"/>
        <v>0</v>
      </c>
      <c r="G11" s="1"/>
      <c r="H11" s="29">
        <f>TRUNC((H6+H7+H8+H9+H10),0)</f>
        <v>0</v>
      </c>
      <c r="I11" s="1"/>
      <c r="J11" s="29">
        <f>TRUNC((J6+J7+J8+J9+J10),0)</f>
        <v>0</v>
      </c>
      <c r="K11" s="1"/>
      <c r="L11" s="29">
        <f>TRUNC((L6+L7+L8+L9+L10),0)</f>
        <v>0</v>
      </c>
      <c r="M11" s="20" t="s">
        <v>1297</v>
      </c>
      <c r="P11" t="s">
        <v>767</v>
      </c>
      <c r="Q11" t="s">
        <v>828</v>
      </c>
      <c r="R11" t="s">
        <v>1083</v>
      </c>
      <c r="X11" t="s">
        <v>729</v>
      </c>
      <c r="AA11" s="41" t="s">
        <v>939</v>
      </c>
      <c r="AB11" s="8">
        <f>(내역서!H6+내역서!H7+내역서!H8+내역서!H9+내역서!H10)</f>
        <v>0</v>
      </c>
      <c r="AC11" s="41" t="s">
        <v>1063</v>
      </c>
      <c r="AD11" s="7">
        <f t="shared" si="2"/>
        <v>0</v>
      </c>
    </row>
    <row r="12" spans="1:30" ht="18" customHeight="1">
      <c r="A12" s="11" t="s">
        <v>843</v>
      </c>
      <c r="B12" s="2" t="s">
        <v>1298</v>
      </c>
      <c r="C12" s="2"/>
      <c r="D12" s="2" t="s">
        <v>1297</v>
      </c>
      <c r="E12" s="29">
        <f t="shared" si="1"/>
        <v>0</v>
      </c>
      <c r="F12" s="29">
        <f t="shared" si="0"/>
        <v>0</v>
      </c>
      <c r="G12" s="1"/>
      <c r="H12" s="29">
        <f>TRUNC(H13+H14+H15+H16+H17+H18+H19+H20+H21+H22+H23,0)</f>
        <v>0</v>
      </c>
      <c r="I12" s="1"/>
      <c r="J12" s="29">
        <f>TRUNC(J13+J14+J15+J16+J17+J18+J19+J20+J21+J22+J23,0)</f>
        <v>0</v>
      </c>
      <c r="K12" s="1"/>
      <c r="L12" s="29">
        <f>TRUNC(L13+L14+L15+L16+L17+L18+L19+L20+L21+L22+L23,0)</f>
        <v>0</v>
      </c>
      <c r="M12" s="20" t="s">
        <v>1297</v>
      </c>
      <c r="P12" t="s">
        <v>437</v>
      </c>
      <c r="AA12" s="41" t="s">
        <v>148</v>
      </c>
      <c r="AB12" s="8">
        <f>내역서!J11*14.4/100</f>
        <v>0</v>
      </c>
      <c r="AC12" s="41" t="s">
        <v>491</v>
      </c>
      <c r="AD12" s="7">
        <f t="shared" si="2"/>
        <v>0</v>
      </c>
    </row>
    <row r="13" spans="1:30" ht="18" customHeight="1">
      <c r="A13" s="11" t="s">
        <v>761</v>
      </c>
      <c r="B13" s="2" t="s">
        <v>1269</v>
      </c>
      <c r="C13" s="2">
        <v>1</v>
      </c>
      <c r="D13" s="2" t="s">
        <v>1025</v>
      </c>
      <c r="E13" s="29">
        <f t="shared" si="1"/>
        <v>0</v>
      </c>
      <c r="F13" s="29">
        <f t="shared" si="0"/>
        <v>0</v>
      </c>
      <c r="G13" s="1"/>
      <c r="H13" s="29">
        <v>0</v>
      </c>
      <c r="I13" s="1"/>
      <c r="J13" s="29">
        <f>TRUNC((J11*14.4/100),0)</f>
        <v>0</v>
      </c>
      <c r="K13" s="1"/>
      <c r="L13" s="29">
        <v>0</v>
      </c>
      <c r="M13" s="20" t="s">
        <v>1297</v>
      </c>
      <c r="P13" t="s">
        <v>112</v>
      </c>
      <c r="R13" t="s">
        <v>1083</v>
      </c>
      <c r="X13" t="s">
        <v>349</v>
      </c>
      <c r="AA13" s="41" t="s">
        <v>403</v>
      </c>
      <c r="AB13" s="8">
        <f>(내역서!J11+내역서!J13)*3.7/100</f>
        <v>0</v>
      </c>
      <c r="AC13" s="41" t="s">
        <v>678</v>
      </c>
      <c r="AD13" s="7">
        <f t="shared" si="2"/>
        <v>0</v>
      </c>
    </row>
    <row r="14" spans="1:30" ht="18" customHeight="1">
      <c r="A14" s="11" t="s">
        <v>21</v>
      </c>
      <c r="B14" s="2" t="s">
        <v>1229</v>
      </c>
      <c r="C14" s="2">
        <v>1</v>
      </c>
      <c r="D14" s="2" t="s">
        <v>1025</v>
      </c>
      <c r="E14" s="29">
        <f t="shared" si="1"/>
        <v>0</v>
      </c>
      <c r="F14" s="29">
        <f t="shared" si="0"/>
        <v>0</v>
      </c>
      <c r="G14" s="1"/>
      <c r="H14" s="29">
        <v>0</v>
      </c>
      <c r="I14" s="1"/>
      <c r="J14" s="29">
        <v>0</v>
      </c>
      <c r="K14" s="1"/>
      <c r="L14" s="29">
        <f>TRUNC(((J11+J13)*3.7/100),0)</f>
        <v>0</v>
      </c>
      <c r="M14" s="20" t="s">
        <v>1297</v>
      </c>
      <c r="P14" t="s">
        <v>106</v>
      </c>
      <c r="R14" t="s">
        <v>1083</v>
      </c>
      <c r="X14" t="s">
        <v>505</v>
      </c>
      <c r="AA14" s="41" t="s">
        <v>403</v>
      </c>
      <c r="AB14" s="8">
        <f>(내역서!J11+내역서!J13)*1.01/100</f>
        <v>0</v>
      </c>
      <c r="AC14" s="41" t="s">
        <v>678</v>
      </c>
      <c r="AD14" s="7">
        <f t="shared" si="2"/>
        <v>0</v>
      </c>
    </row>
    <row r="15" spans="1:30" ht="18" customHeight="1">
      <c r="A15" s="11" t="s">
        <v>1187</v>
      </c>
      <c r="B15" s="2" t="s">
        <v>84</v>
      </c>
      <c r="C15" s="2">
        <v>1</v>
      </c>
      <c r="D15" s="2" t="s">
        <v>1025</v>
      </c>
      <c r="E15" s="29">
        <f t="shared" si="1"/>
        <v>0</v>
      </c>
      <c r="F15" s="29">
        <f t="shared" si="0"/>
        <v>0</v>
      </c>
      <c r="G15" s="1"/>
      <c r="H15" s="29">
        <v>0</v>
      </c>
      <c r="I15" s="1"/>
      <c r="J15" s="29">
        <v>0</v>
      </c>
      <c r="K15" s="1"/>
      <c r="L15" s="29">
        <f>TRUNC(((J11+J13)*1.01/100),0)</f>
        <v>0</v>
      </c>
      <c r="M15" s="20" t="s">
        <v>1297</v>
      </c>
      <c r="P15" t="s">
        <v>412</v>
      </c>
      <c r="R15" t="s">
        <v>1083</v>
      </c>
      <c r="X15" t="s">
        <v>136</v>
      </c>
      <c r="AA15" s="41" t="s">
        <v>403</v>
      </c>
      <c r="AB15" s="8">
        <f>내역서!J11*3.495/100</f>
        <v>0</v>
      </c>
      <c r="AC15" s="41" t="s">
        <v>678</v>
      </c>
      <c r="AD15" s="7">
        <f t="shared" si="2"/>
        <v>0</v>
      </c>
    </row>
    <row r="16" spans="1:30" ht="18" customHeight="1">
      <c r="A16" s="11" t="s">
        <v>0</v>
      </c>
      <c r="B16" s="2" t="s">
        <v>24</v>
      </c>
      <c r="C16" s="2">
        <v>1</v>
      </c>
      <c r="D16" s="2" t="s">
        <v>1025</v>
      </c>
      <c r="E16" s="29">
        <f t="shared" si="1"/>
        <v>0</v>
      </c>
      <c r="F16" s="29">
        <f t="shared" si="0"/>
        <v>0</v>
      </c>
      <c r="G16" s="1"/>
      <c r="H16" s="29">
        <v>0</v>
      </c>
      <c r="I16" s="1"/>
      <c r="J16" s="29">
        <v>0</v>
      </c>
      <c r="K16" s="1"/>
      <c r="L16" s="29">
        <f>TRUNC((J11*3.495/100),0)</f>
        <v>0</v>
      </c>
      <c r="M16" s="20" t="s">
        <v>1297</v>
      </c>
      <c r="P16" t="s">
        <v>755</v>
      </c>
      <c r="R16" t="s">
        <v>1083</v>
      </c>
      <c r="X16" t="s">
        <v>43</v>
      </c>
      <c r="AA16" s="41" t="s">
        <v>403</v>
      </c>
      <c r="AB16" s="8">
        <f>내역서!J11*4.5/100</f>
        <v>0</v>
      </c>
      <c r="AC16" s="41" t="s">
        <v>678</v>
      </c>
      <c r="AD16" s="7">
        <f t="shared" si="2"/>
        <v>0</v>
      </c>
    </row>
    <row r="17" spans="1:30" ht="18" customHeight="1">
      <c r="A17" s="11" t="s">
        <v>79</v>
      </c>
      <c r="B17" s="2" t="s">
        <v>83</v>
      </c>
      <c r="C17" s="2">
        <v>1</v>
      </c>
      <c r="D17" s="2" t="s">
        <v>1025</v>
      </c>
      <c r="E17" s="29">
        <f t="shared" si="1"/>
        <v>0</v>
      </c>
      <c r="F17" s="29">
        <f t="shared" si="0"/>
        <v>0</v>
      </c>
      <c r="G17" s="1"/>
      <c r="H17" s="29">
        <v>0</v>
      </c>
      <c r="I17" s="1"/>
      <c r="J17" s="29">
        <v>0</v>
      </c>
      <c r="K17" s="1"/>
      <c r="L17" s="29">
        <f>TRUNC((J11*4.5/100),0)</f>
        <v>0</v>
      </c>
      <c r="M17" s="20" t="s">
        <v>1297</v>
      </c>
      <c r="P17" t="s">
        <v>1075</v>
      </c>
      <c r="R17" t="s">
        <v>1083</v>
      </c>
      <c r="X17" t="s">
        <v>720</v>
      </c>
      <c r="AA17" s="41" t="s">
        <v>403</v>
      </c>
      <c r="AB17" s="8">
        <f>(내역서!H16+내역서!J16+내역서!L16)*12.27/100</f>
        <v>0</v>
      </c>
      <c r="AC17" s="41" t="s">
        <v>678</v>
      </c>
      <c r="AD17" s="7">
        <f t="shared" si="2"/>
        <v>0</v>
      </c>
    </row>
    <row r="18" spans="1:30" ht="18" customHeight="1">
      <c r="A18" s="11" t="s">
        <v>348</v>
      </c>
      <c r="B18" s="2" t="s">
        <v>382</v>
      </c>
      <c r="C18" s="2">
        <v>1</v>
      </c>
      <c r="D18" s="2" t="s">
        <v>1025</v>
      </c>
      <c r="E18" s="29">
        <f t="shared" si="1"/>
        <v>0</v>
      </c>
      <c r="F18" s="29">
        <f t="shared" si="0"/>
        <v>0</v>
      </c>
      <c r="G18" s="1"/>
      <c r="H18" s="29">
        <v>0</v>
      </c>
      <c r="I18" s="1"/>
      <c r="J18" s="29">
        <v>0</v>
      </c>
      <c r="K18" s="1"/>
      <c r="L18" s="29">
        <f>TRUNC(((H16+J16+L16)*12.27/100),0)</f>
        <v>0</v>
      </c>
      <c r="M18" s="20" t="s">
        <v>1297</v>
      </c>
      <c r="P18" t="s">
        <v>88</v>
      </c>
      <c r="R18" t="s">
        <v>1083</v>
      </c>
      <c r="X18" t="s">
        <v>1086</v>
      </c>
      <c r="AA18" s="41" t="s">
        <v>403</v>
      </c>
      <c r="AB18" s="8">
        <f>내역서!J11*0/100</f>
        <v>0</v>
      </c>
      <c r="AC18" s="41" t="s">
        <v>678</v>
      </c>
      <c r="AD18" s="7">
        <f t="shared" si="2"/>
        <v>0</v>
      </c>
    </row>
    <row r="19" spans="1:34" ht="18" customHeight="1">
      <c r="A19" s="11" t="s">
        <v>54</v>
      </c>
      <c r="B19" s="2" t="s">
        <v>544</v>
      </c>
      <c r="C19" s="2"/>
      <c r="D19" s="2" t="s">
        <v>1025</v>
      </c>
      <c r="E19" s="29">
        <f t="shared" si="1"/>
        <v>0</v>
      </c>
      <c r="F19" s="29">
        <f t="shared" si="0"/>
        <v>0</v>
      </c>
      <c r="G19" s="1"/>
      <c r="H19" s="29">
        <v>0</v>
      </c>
      <c r="I19" s="1"/>
      <c r="J19" s="29">
        <v>0</v>
      </c>
      <c r="K19" s="1"/>
      <c r="L19" s="29">
        <f>TRUNC((J11*0/100),0)</f>
        <v>0</v>
      </c>
      <c r="M19" s="20" t="s">
        <v>1297</v>
      </c>
      <c r="P19" t="s">
        <v>397</v>
      </c>
      <c r="R19" t="s">
        <v>1083</v>
      </c>
      <c r="X19" t="s">
        <v>962</v>
      </c>
      <c r="AA19" s="41" t="s">
        <v>403</v>
      </c>
      <c r="AB19" s="8">
        <f>ROUND(((내역서!H11+내역서!J11+내역서!L11))*0.51/100,2)</f>
        <v>0</v>
      </c>
      <c r="AC19" s="41" t="s">
        <v>678</v>
      </c>
      <c r="AD19" s="7">
        <f t="shared" si="2"/>
        <v>0</v>
      </c>
      <c r="AE19" s="40" t="s">
        <v>277</v>
      </c>
      <c r="AF19" s="8">
        <f>ROUND(ROUND(((내역서!H11+내역서!J11+내역서!L11))*0.51/100,2),2)</f>
        <v>0</v>
      </c>
      <c r="AG19" s="40" t="s">
        <v>669</v>
      </c>
      <c r="AH19" s="7">
        <f>$AF19</f>
        <v>0</v>
      </c>
    </row>
    <row r="20" spans="1:34" ht="18" customHeight="1">
      <c r="A20" s="11" t="s">
        <v>745</v>
      </c>
      <c r="B20" s="2" t="s">
        <v>640</v>
      </c>
      <c r="C20" s="2">
        <v>1</v>
      </c>
      <c r="D20" s="2" t="s">
        <v>1025</v>
      </c>
      <c r="E20" s="29">
        <f t="shared" si="1"/>
        <v>0</v>
      </c>
      <c r="F20" s="29">
        <f t="shared" si="0"/>
        <v>0</v>
      </c>
      <c r="G20" s="1"/>
      <c r="H20" s="29">
        <v>0</v>
      </c>
      <c r="I20" s="1"/>
      <c r="J20" s="29">
        <v>0</v>
      </c>
      <c r="K20" s="1"/>
      <c r="L20" s="29">
        <f>TRUNC((ROUND(((H11+J11+L11))*0.51/100,2)),0)</f>
        <v>0</v>
      </c>
      <c r="M20" s="20" t="s">
        <v>1297</v>
      </c>
      <c r="P20" t="s">
        <v>728</v>
      </c>
      <c r="R20" t="s">
        <v>1083</v>
      </c>
      <c r="X20" t="s">
        <v>131</v>
      </c>
      <c r="AA20" s="41" t="s">
        <v>403</v>
      </c>
      <c r="AB20" s="8">
        <f>ROUND(((내역서!J11+내역서!H11)*0.0293),2)</f>
        <v>0</v>
      </c>
      <c r="AC20" s="41" t="s">
        <v>678</v>
      </c>
      <c r="AD20" s="7">
        <f t="shared" si="2"/>
        <v>0</v>
      </c>
      <c r="AE20" s="40" t="s">
        <v>543</v>
      </c>
      <c r="AF20" s="8">
        <f>ROUND(ROUND(((내역서!J11+내역서!H11)*0.0293),2),2)</f>
        <v>0</v>
      </c>
      <c r="AG20" s="40" t="s">
        <v>496</v>
      </c>
      <c r="AH20" s="7">
        <f>$AF20</f>
        <v>0</v>
      </c>
    </row>
    <row r="21" spans="1:30" ht="18" customHeight="1">
      <c r="A21" s="11" t="s">
        <v>737</v>
      </c>
      <c r="B21" s="2" t="s">
        <v>818</v>
      </c>
      <c r="C21" s="2">
        <v>1</v>
      </c>
      <c r="D21" s="2" t="s">
        <v>1025</v>
      </c>
      <c r="E21" s="29">
        <f t="shared" si="1"/>
        <v>0</v>
      </c>
      <c r="F21" s="29">
        <f t="shared" si="0"/>
        <v>0</v>
      </c>
      <c r="G21" s="1"/>
      <c r="H21" s="29">
        <v>0</v>
      </c>
      <c r="I21" s="1"/>
      <c r="J21" s="29">
        <v>0</v>
      </c>
      <c r="K21" s="1"/>
      <c r="L21" s="29">
        <f>TRUNC((ROUND(((J11+H11)*0.0293),2)),0)</f>
        <v>0</v>
      </c>
      <c r="M21" s="20" t="s">
        <v>1297</v>
      </c>
      <c r="P21" t="s">
        <v>1044</v>
      </c>
      <c r="R21" t="s">
        <v>1083</v>
      </c>
      <c r="X21" t="s">
        <v>229</v>
      </c>
      <c r="AA21" s="41" t="s">
        <v>403</v>
      </c>
      <c r="AB21" s="8">
        <f>(내역서!H11+내역서!J11+내역서!L11)*0.5/100</f>
        <v>0</v>
      </c>
      <c r="AC21" s="41" t="s">
        <v>678</v>
      </c>
      <c r="AD21" s="7">
        <f t="shared" si="2"/>
        <v>0</v>
      </c>
    </row>
    <row r="22" spans="1:34" ht="18" customHeight="1">
      <c r="A22" s="11" t="s">
        <v>754</v>
      </c>
      <c r="B22" s="2" t="s">
        <v>82</v>
      </c>
      <c r="C22" s="2">
        <v>1</v>
      </c>
      <c r="D22" s="2" t="s">
        <v>1025</v>
      </c>
      <c r="E22" s="29">
        <f t="shared" si="1"/>
        <v>0</v>
      </c>
      <c r="F22" s="29">
        <f t="shared" si="0"/>
        <v>0</v>
      </c>
      <c r="G22" s="1"/>
      <c r="H22" s="29">
        <v>0</v>
      </c>
      <c r="I22" s="1"/>
      <c r="J22" s="29">
        <v>0</v>
      </c>
      <c r="K22" s="1"/>
      <c r="L22" s="29">
        <f>TRUNC(((H11+J11+L11)*0.5/100),0)</f>
        <v>0</v>
      </c>
      <c r="M22" s="20" t="s">
        <v>1297</v>
      </c>
      <c r="P22" t="s">
        <v>163</v>
      </c>
      <c r="R22" t="s">
        <v>1083</v>
      </c>
      <c r="X22" t="s">
        <v>973</v>
      </c>
      <c r="AA22" s="41" t="s">
        <v>403</v>
      </c>
      <c r="AB22" s="8">
        <f>ROUND((내역서!J11+내역서!J13+내역서!H11)*8.3/100,2)</f>
        <v>0</v>
      </c>
      <c r="AC22" s="41" t="s">
        <v>678</v>
      </c>
      <c r="AD22" s="7">
        <f t="shared" si="2"/>
        <v>0</v>
      </c>
      <c r="AE22" s="40" t="s">
        <v>1181</v>
      </c>
      <c r="AF22" s="8">
        <f>ROUND(ROUND((내역서!J11+내역서!J13+내역서!H11)*8.3/100,2),2)</f>
        <v>0</v>
      </c>
      <c r="AG22" s="40" t="s">
        <v>151</v>
      </c>
      <c r="AH22" s="7">
        <f>$AF22</f>
        <v>0</v>
      </c>
    </row>
    <row r="23" spans="1:30" ht="18" customHeight="1">
      <c r="A23" s="11" t="s">
        <v>429</v>
      </c>
      <c r="B23" s="2" t="s">
        <v>1119</v>
      </c>
      <c r="C23" s="2">
        <v>1</v>
      </c>
      <c r="D23" s="2" t="s">
        <v>1025</v>
      </c>
      <c r="E23" s="29">
        <f t="shared" si="1"/>
        <v>0</v>
      </c>
      <c r="F23" s="29">
        <f t="shared" si="0"/>
        <v>0</v>
      </c>
      <c r="G23" s="1"/>
      <c r="H23" s="29">
        <v>0</v>
      </c>
      <c r="I23" s="1"/>
      <c r="J23" s="29">
        <v>0</v>
      </c>
      <c r="K23" s="1"/>
      <c r="L23" s="29">
        <f>TRUNC((ROUND((J11+J13+H11)*8.3/100,2)),0)</f>
        <v>0</v>
      </c>
      <c r="M23" s="20" t="s">
        <v>1297</v>
      </c>
      <c r="P23" t="s">
        <v>454</v>
      </c>
      <c r="R23" t="s">
        <v>1083</v>
      </c>
      <c r="X23" t="s">
        <v>39</v>
      </c>
      <c r="AA23" s="41" t="s">
        <v>403</v>
      </c>
      <c r="AB23" s="8">
        <f>((내역서!H11+내역서!J11+내역서!L11)+(내역서!H12+내역서!J12+내역서!L12))*6/100</f>
        <v>0</v>
      </c>
      <c r="AC23" s="41" t="s">
        <v>678</v>
      </c>
      <c r="AD23" s="7">
        <f t="shared" si="2"/>
        <v>0</v>
      </c>
    </row>
    <row r="24" spans="1:30" ht="18" customHeight="1">
      <c r="A24" s="11" t="s">
        <v>493</v>
      </c>
      <c r="B24" s="2" t="s">
        <v>582</v>
      </c>
      <c r="C24" s="2">
        <v>1</v>
      </c>
      <c r="D24" s="2" t="s">
        <v>1025</v>
      </c>
      <c r="E24" s="29">
        <f t="shared" si="1"/>
        <v>0</v>
      </c>
      <c r="F24" s="29">
        <f t="shared" si="0"/>
        <v>0</v>
      </c>
      <c r="G24" s="1"/>
      <c r="H24" s="29">
        <v>0</v>
      </c>
      <c r="I24" s="1"/>
      <c r="J24" s="29">
        <v>0</v>
      </c>
      <c r="K24" s="1"/>
      <c r="L24" s="29">
        <f>TRUNC((((H11+J11+L11)+(H12+J12+L12))*6/100),0)</f>
        <v>0</v>
      </c>
      <c r="M24" s="20" t="s">
        <v>1297</v>
      </c>
      <c r="P24" t="s">
        <v>372</v>
      </c>
      <c r="R24" t="s">
        <v>1083</v>
      </c>
      <c r="X24" t="s">
        <v>389</v>
      </c>
      <c r="AA24" s="41" t="s">
        <v>939</v>
      </c>
      <c r="AB24" s="8">
        <f>내역서!H11+내역서!H12+내역서!H24</f>
        <v>0</v>
      </c>
      <c r="AC24" s="41" t="s">
        <v>1063</v>
      </c>
      <c r="AD24" s="7">
        <f t="shared" si="2"/>
        <v>0</v>
      </c>
    </row>
    <row r="25" spans="1:34" ht="18" customHeight="1">
      <c r="A25" s="11" t="s">
        <v>1031</v>
      </c>
      <c r="B25" s="2" t="s">
        <v>1297</v>
      </c>
      <c r="C25" s="2"/>
      <c r="D25" s="2" t="s">
        <v>1297</v>
      </c>
      <c r="E25" s="29">
        <f t="shared" si="1"/>
        <v>0</v>
      </c>
      <c r="F25" s="29">
        <f t="shared" si="0"/>
        <v>0</v>
      </c>
      <c r="G25" s="1"/>
      <c r="H25" s="29">
        <f>TRUNC((H11+H12+H24),0)</f>
        <v>0</v>
      </c>
      <c r="I25" s="1"/>
      <c r="J25" s="29">
        <f>TRUNC((J11+J12+J24),0)</f>
        <v>0</v>
      </c>
      <c r="K25" s="1"/>
      <c r="L25" s="29">
        <f>TRUNC((L11+L12+L24),0)</f>
        <v>0</v>
      </c>
      <c r="M25" s="20" t="s">
        <v>1297</v>
      </c>
      <c r="P25" t="s">
        <v>64</v>
      </c>
      <c r="Q25" t="s">
        <v>828</v>
      </c>
      <c r="R25" t="s">
        <v>1083</v>
      </c>
      <c r="X25" t="s">
        <v>800</v>
      </c>
      <c r="AA25" s="41" t="s">
        <v>403</v>
      </c>
      <c r="AB25" s="8">
        <f>ROUND(((내역서!H25+내역서!J25+내역서!L25)-내역서!H25)*(15/100)-6024,2)</f>
        <v>-6024</v>
      </c>
      <c r="AC25" s="41" t="s">
        <v>678</v>
      </c>
      <c r="AD25" s="7">
        <f t="shared" si="2"/>
        <v>-6024</v>
      </c>
      <c r="AE25" s="40" t="s">
        <v>174</v>
      </c>
      <c r="AF25" s="8">
        <f>ROUND(ROUND(((내역서!H25+내역서!J25+내역서!L25)-내역서!H25)*(15/100)-6024,2),2)</f>
        <v>-6024</v>
      </c>
      <c r="AG25" s="40" t="s">
        <v>19</v>
      </c>
      <c r="AH25" s="7">
        <f>$AF25</f>
        <v>-6024</v>
      </c>
    </row>
    <row r="26" spans="1:30" ht="18" customHeight="1">
      <c r="A26" s="11" t="s">
        <v>347</v>
      </c>
      <c r="B26" s="2" t="s">
        <v>676</v>
      </c>
      <c r="C26" s="2">
        <v>1</v>
      </c>
      <c r="D26" s="2" t="s">
        <v>1025</v>
      </c>
      <c r="E26" s="29">
        <f t="shared" si="1"/>
        <v>0</v>
      </c>
      <c r="F26" s="29">
        <f t="shared" si="0"/>
        <v>0</v>
      </c>
      <c r="G26" s="1"/>
      <c r="H26" s="29">
        <v>0</v>
      </c>
      <c r="I26" s="1"/>
      <c r="J26" s="29">
        <v>0</v>
      </c>
      <c r="K26" s="1"/>
      <c r="L26" s="29">
        <f>TRUNC((ROUND(((H25+J25+L25)-H25)*(15/100),2)),0)</f>
        <v>0</v>
      </c>
      <c r="M26" s="20" t="s">
        <v>1297</v>
      </c>
      <c r="P26" t="s">
        <v>1021</v>
      </c>
      <c r="R26" t="s">
        <v>1083</v>
      </c>
      <c r="X26" t="s">
        <v>50</v>
      </c>
      <c r="AA26" s="41" t="s">
        <v>403</v>
      </c>
      <c r="AB26" s="8">
        <f>내역서!L11+내역서!L12+내역서!L24</f>
        <v>0</v>
      </c>
      <c r="AC26" s="41" t="s">
        <v>678</v>
      </c>
      <c r="AD26" s="7">
        <f t="shared" si="2"/>
        <v>0</v>
      </c>
    </row>
    <row r="27" spans="1:61" ht="18" customHeight="1">
      <c r="A27" s="11" t="s">
        <v>264</v>
      </c>
      <c r="B27" s="2" t="s">
        <v>1177</v>
      </c>
      <c r="C27" s="2">
        <v>1</v>
      </c>
      <c r="D27" s="2" t="s">
        <v>1025</v>
      </c>
      <c r="E27" s="29">
        <f t="shared" si="1"/>
        <v>0</v>
      </c>
      <c r="F27" s="29">
        <f t="shared" si="0"/>
        <v>0</v>
      </c>
      <c r="G27" s="29">
        <f>일위대가목록!F17</f>
        <v>0</v>
      </c>
      <c r="H27" s="29">
        <f>TRUNC(G27*C27,0)</f>
        <v>0</v>
      </c>
      <c r="I27" s="29">
        <f>일위대가목록!G17</f>
        <v>0</v>
      </c>
      <c r="J27" s="29">
        <f>TRUNC(I27*C27,0)</f>
        <v>0</v>
      </c>
      <c r="K27" s="29">
        <f>일위대가목록!H17</f>
        <v>0</v>
      </c>
      <c r="L27" s="29">
        <f>TRUNC(K27*C27,0)</f>
        <v>0</v>
      </c>
      <c r="M27" s="20" t="s">
        <v>1162</v>
      </c>
      <c r="P27" t="s">
        <v>703</v>
      </c>
      <c r="R27" t="s">
        <v>1179</v>
      </c>
      <c r="T27" t="s">
        <v>802</v>
      </c>
      <c r="BI27" s="52" t="str">
        <f>HYPERLINK("#일위대가목록!A17","KSJSB0200 →")</f>
        <v>KSJSB0200 →</v>
      </c>
    </row>
    <row r="28" spans="1:61" ht="18" customHeight="1">
      <c r="A28" s="11" t="s">
        <v>664</v>
      </c>
      <c r="B28" s="2" t="s">
        <v>1297</v>
      </c>
      <c r="C28" s="2">
        <v>1</v>
      </c>
      <c r="D28" s="2" t="s">
        <v>1025</v>
      </c>
      <c r="E28" s="29">
        <f t="shared" si="1"/>
        <v>0</v>
      </c>
      <c r="F28" s="29">
        <f t="shared" si="0"/>
        <v>0</v>
      </c>
      <c r="G28" s="29">
        <f>H88</f>
        <v>0</v>
      </c>
      <c r="H28" s="29">
        <f>TRUNC(G28*C28,0)</f>
        <v>0</v>
      </c>
      <c r="I28" s="29">
        <f>J88</f>
        <v>0</v>
      </c>
      <c r="J28" s="29">
        <f>TRUNC(I28*C28,0)</f>
        <v>0</v>
      </c>
      <c r="K28" s="29">
        <f>L88</f>
        <v>0</v>
      </c>
      <c r="L28" s="29">
        <f>TRUNC(K28*C28,0)</f>
        <v>0</v>
      </c>
      <c r="M28" s="20" t="s">
        <v>1297</v>
      </c>
      <c r="P28" t="s">
        <v>346</v>
      </c>
      <c r="R28" t="s">
        <v>20</v>
      </c>
      <c r="AA28" s="41" t="s">
        <v>148</v>
      </c>
      <c r="AB28" s="8">
        <f>(내역서!J25+내역서!J26+내역서!J27+내역서!J28)</f>
        <v>0</v>
      </c>
      <c r="AC28" s="41" t="s">
        <v>491</v>
      </c>
      <c r="AD28" s="7">
        <f aca="true" t="shared" si="3" ref="AD28:AD33">$AB28</f>
        <v>0</v>
      </c>
      <c r="BI28" s="52" t="str">
        <f>HYPERLINK("#내역서!A88","A22-19-16 →")</f>
        <v>A22-19-16 →</v>
      </c>
    </row>
    <row r="29" spans="1:30" ht="18" customHeight="1">
      <c r="A29" s="11" t="s">
        <v>564</v>
      </c>
      <c r="B29" s="2" t="s">
        <v>1297</v>
      </c>
      <c r="C29" s="2"/>
      <c r="D29" s="2" t="s">
        <v>1297</v>
      </c>
      <c r="E29" s="29">
        <f t="shared" si="1"/>
        <v>0</v>
      </c>
      <c r="F29" s="29">
        <f t="shared" si="0"/>
        <v>0</v>
      </c>
      <c r="G29" s="1"/>
      <c r="H29" s="29">
        <f>TRUNC((H25+H26+H27+H28),0)</f>
        <v>0</v>
      </c>
      <c r="I29" s="1"/>
      <c r="J29" s="29">
        <f>TRUNC((J25+J26+J27+J28),0)</f>
        <v>0</v>
      </c>
      <c r="K29" s="1"/>
      <c r="L29" s="29">
        <f>TRUNC((L25+L26+L27+L28),0)</f>
        <v>0</v>
      </c>
      <c r="M29" s="20" t="s">
        <v>1297</v>
      </c>
      <c r="P29" t="s">
        <v>47</v>
      </c>
      <c r="Q29" t="s">
        <v>828</v>
      </c>
      <c r="R29" t="s">
        <v>1083</v>
      </c>
      <c r="X29" t="s">
        <v>224</v>
      </c>
      <c r="AA29" s="41" t="s">
        <v>403</v>
      </c>
      <c r="AB29" s="8">
        <f>((내역서!H29+내역서!J29+내역서!L29))*10/100</f>
        <v>0</v>
      </c>
      <c r="AC29" s="41" t="s">
        <v>678</v>
      </c>
      <c r="AD29" s="7">
        <f t="shared" si="3"/>
        <v>0</v>
      </c>
    </row>
    <row r="30" spans="1:30" ht="18" customHeight="1">
      <c r="A30" s="11" t="s">
        <v>918</v>
      </c>
      <c r="B30" s="2" t="s">
        <v>1297</v>
      </c>
      <c r="C30" s="2">
        <v>1</v>
      </c>
      <c r="D30" s="2" t="s">
        <v>1025</v>
      </c>
      <c r="E30" s="29">
        <f t="shared" si="1"/>
        <v>0</v>
      </c>
      <c r="F30" s="29">
        <f t="shared" si="0"/>
        <v>0</v>
      </c>
      <c r="G30" s="1"/>
      <c r="H30" s="29">
        <v>0</v>
      </c>
      <c r="I30" s="1"/>
      <c r="J30" s="29">
        <v>0</v>
      </c>
      <c r="K30" s="1"/>
      <c r="L30" s="29">
        <f>TRUNC((((H29+J29+L29))*10/100),0)</f>
        <v>0</v>
      </c>
      <c r="M30" s="20" t="s">
        <v>1297</v>
      </c>
      <c r="P30" t="s">
        <v>999</v>
      </c>
      <c r="R30" t="s">
        <v>1083</v>
      </c>
      <c r="X30" t="s">
        <v>1240</v>
      </c>
      <c r="AA30" s="41" t="s">
        <v>148</v>
      </c>
      <c r="AB30" s="8">
        <f>(내역서!J29+내역서!J30)</f>
        <v>0</v>
      </c>
      <c r="AC30" s="41" t="s">
        <v>491</v>
      </c>
      <c r="AD30" s="7">
        <f t="shared" si="3"/>
        <v>0</v>
      </c>
    </row>
    <row r="31" spans="1:30" ht="18" customHeight="1">
      <c r="A31" s="11" t="s">
        <v>1251</v>
      </c>
      <c r="B31" s="2" t="s">
        <v>1297</v>
      </c>
      <c r="C31" s="2"/>
      <c r="D31" s="2" t="s">
        <v>1297</v>
      </c>
      <c r="E31" s="29">
        <f t="shared" si="1"/>
        <v>0</v>
      </c>
      <c r="F31" s="29">
        <f t="shared" si="0"/>
        <v>0</v>
      </c>
      <c r="G31" s="1"/>
      <c r="H31" s="29">
        <f>TRUNC((H29+H30),0)</f>
        <v>0</v>
      </c>
      <c r="I31" s="1"/>
      <c r="J31" s="29">
        <f>TRUNC((J29+J30),0)</f>
        <v>0</v>
      </c>
      <c r="K31" s="1"/>
      <c r="L31" s="29">
        <f>TRUNC((L29+L30),0)</f>
        <v>0</v>
      </c>
      <c r="M31" s="20" t="s">
        <v>1297</v>
      </c>
      <c r="P31" t="s">
        <v>682</v>
      </c>
      <c r="Q31" t="s">
        <v>828</v>
      </c>
      <c r="R31" t="s">
        <v>1083</v>
      </c>
      <c r="X31" t="s">
        <v>799</v>
      </c>
      <c r="AA31" s="41" t="s">
        <v>148</v>
      </c>
      <c r="AB31" s="8">
        <f>내역서!J31</f>
        <v>0</v>
      </c>
      <c r="AC31" s="41" t="s">
        <v>491</v>
      </c>
      <c r="AD31" s="7">
        <f t="shared" si="3"/>
        <v>0</v>
      </c>
    </row>
    <row r="32" spans="1:30" ht="18" customHeight="1">
      <c r="A32" s="11" t="s">
        <v>527</v>
      </c>
      <c r="B32" s="2" t="s">
        <v>1297</v>
      </c>
      <c r="C32" s="2"/>
      <c r="D32" s="2" t="s">
        <v>1297</v>
      </c>
      <c r="E32" s="29">
        <f t="shared" si="1"/>
        <v>0</v>
      </c>
      <c r="F32" s="29">
        <f t="shared" si="0"/>
        <v>0</v>
      </c>
      <c r="G32" s="1"/>
      <c r="H32" s="29">
        <f>TRUNC(H31,0)</f>
        <v>0</v>
      </c>
      <c r="I32" s="1"/>
      <c r="J32" s="29">
        <f>TRUNC(J31,0)</f>
        <v>0</v>
      </c>
      <c r="K32" s="1"/>
      <c r="L32" s="29">
        <f>TRUNC(L31,0)</f>
        <v>0</v>
      </c>
      <c r="M32" s="20" t="s">
        <v>1297</v>
      </c>
      <c r="P32" t="s">
        <v>32</v>
      </c>
      <c r="Q32" t="s">
        <v>828</v>
      </c>
      <c r="R32" t="s">
        <v>1083</v>
      </c>
      <c r="X32" t="s">
        <v>1163</v>
      </c>
      <c r="AA32" s="41" t="s">
        <v>939</v>
      </c>
      <c r="AB32" s="8">
        <f>내역서!H31</f>
        <v>0</v>
      </c>
      <c r="AC32" s="41" t="s">
        <v>1063</v>
      </c>
      <c r="AD32" s="7">
        <f t="shared" si="3"/>
        <v>0</v>
      </c>
    </row>
    <row r="33" spans="1:30" ht="18" customHeight="1">
      <c r="A33" s="11" t="s">
        <v>504</v>
      </c>
      <c r="B33" s="2" t="s">
        <v>1297</v>
      </c>
      <c r="C33" s="2"/>
      <c r="D33" s="2" t="s">
        <v>1297</v>
      </c>
      <c r="E33" s="29">
        <f t="shared" si="1"/>
        <v>0</v>
      </c>
      <c r="F33" s="29">
        <f t="shared" si="0"/>
        <v>0</v>
      </c>
      <c r="G33" s="1"/>
      <c r="H33" s="29">
        <v>0</v>
      </c>
      <c r="I33" s="1"/>
      <c r="J33" s="29">
        <v>0</v>
      </c>
      <c r="K33" s="1"/>
      <c r="L33" s="29">
        <v>0</v>
      </c>
      <c r="M33" s="20" t="s">
        <v>1297</v>
      </c>
      <c r="P33" t="s">
        <v>612</v>
      </c>
      <c r="Q33" t="s">
        <v>299</v>
      </c>
      <c r="AA33" s="41" t="s">
        <v>403</v>
      </c>
      <c r="AB33" s="8">
        <f>내역서!L31</f>
        <v>0</v>
      </c>
      <c r="AC33" s="41" t="s">
        <v>678</v>
      </c>
      <c r="AD33" s="7">
        <f t="shared" si="3"/>
        <v>0</v>
      </c>
    </row>
    <row r="34" spans="1:15" ht="18" customHeight="1">
      <c r="A34" s="11" t="s">
        <v>87</v>
      </c>
      <c r="B34" s="2" t="s">
        <v>1297</v>
      </c>
      <c r="C34" s="2">
        <v>1</v>
      </c>
      <c r="D34" s="2" t="s">
        <v>1025</v>
      </c>
      <c r="E34" s="1"/>
      <c r="F34" s="29">
        <f t="shared" si="0"/>
        <v>0</v>
      </c>
      <c r="G34" s="1"/>
      <c r="H34" s="29">
        <f>TRUNC(H36+H37+H38+H39+H40+H41+H42,0)</f>
        <v>0</v>
      </c>
      <c r="I34" s="1"/>
      <c r="J34" s="29">
        <f>TRUNC(J36+J37+J38+J39+J40+J41+J42,0)</f>
        <v>0</v>
      </c>
      <c r="K34" s="1"/>
      <c r="L34" s="29">
        <f>TRUNC(L36+L37+L38+L39+L40+L41+L42,0)</f>
        <v>0</v>
      </c>
      <c r="M34" s="20" t="s">
        <v>1297</v>
      </c>
      <c r="O34" t="s">
        <v>804</v>
      </c>
    </row>
    <row r="35" spans="1:18" ht="18" customHeight="1">
      <c r="A35" s="11" t="s">
        <v>329</v>
      </c>
      <c r="B35" s="2" t="s">
        <v>1297</v>
      </c>
      <c r="C35" s="2"/>
      <c r="D35" s="2" t="s">
        <v>1297</v>
      </c>
      <c r="E35" s="29">
        <f aca="true" t="shared" si="4" ref="E35:E42">G35+I35+K35</f>
        <v>0</v>
      </c>
      <c r="F35" s="29">
        <f t="shared" si="0"/>
        <v>0</v>
      </c>
      <c r="G35" s="1"/>
      <c r="H35" s="29">
        <f>TRUNC(H36+H37,0)</f>
        <v>0</v>
      </c>
      <c r="I35" s="1"/>
      <c r="J35" s="29">
        <f>TRUNC(J36+J37,0)</f>
        <v>0</v>
      </c>
      <c r="K35" s="1"/>
      <c r="L35" s="29">
        <f>TRUNC(L36+L37,0)</f>
        <v>0</v>
      </c>
      <c r="M35" s="20" t="s">
        <v>1297</v>
      </c>
      <c r="P35" t="s">
        <v>166</v>
      </c>
    </row>
    <row r="36" spans="1:61" ht="18" customHeight="1">
      <c r="A36" s="11" t="s">
        <v>1050</v>
      </c>
      <c r="B36" s="2" t="s">
        <v>901</v>
      </c>
      <c r="C36" s="2">
        <v>2</v>
      </c>
      <c r="D36" s="2" t="s">
        <v>927</v>
      </c>
      <c r="E36" s="29">
        <f t="shared" si="4"/>
        <v>0</v>
      </c>
      <c r="F36" s="29">
        <f aca="true" t="shared" si="5" ref="F36:F67">H36+J36+L36</f>
        <v>0</v>
      </c>
      <c r="G36" s="29">
        <f>일위대가목록!F3</f>
        <v>0</v>
      </c>
      <c r="H36" s="29">
        <f aca="true" t="shared" si="6" ref="H36:H42">TRUNC(G36*C36,0)</f>
        <v>0</v>
      </c>
      <c r="I36" s="29">
        <f>일위대가목록!G3</f>
        <v>0</v>
      </c>
      <c r="J36" s="29">
        <f aca="true" t="shared" si="7" ref="J36:J42">TRUNC(I36*C36,0)</f>
        <v>0</v>
      </c>
      <c r="K36" s="29">
        <f>일위대가목록!H3</f>
        <v>0</v>
      </c>
      <c r="L36" s="29">
        <f aca="true" t="shared" si="8" ref="L36:L42">TRUNC(K36*C36,0)</f>
        <v>0</v>
      </c>
      <c r="M36" s="20" t="s">
        <v>325</v>
      </c>
      <c r="P36" t="s">
        <v>1113</v>
      </c>
      <c r="R36" t="s">
        <v>541</v>
      </c>
      <c r="T36" t="s">
        <v>1083</v>
      </c>
      <c r="BI36" s="52" t="str">
        <f>HYPERLINK("#일위대가목록!A3","PAB0F063 →")</f>
        <v>PAB0F063 →</v>
      </c>
    </row>
    <row r="37" spans="1:61" ht="18" customHeight="1">
      <c r="A37" s="11" t="s">
        <v>146</v>
      </c>
      <c r="B37" s="2" t="s">
        <v>1297</v>
      </c>
      <c r="C37" s="2">
        <v>22</v>
      </c>
      <c r="D37" s="2" t="s">
        <v>757</v>
      </c>
      <c r="E37" s="29">
        <f t="shared" si="4"/>
        <v>0</v>
      </c>
      <c r="F37" s="29">
        <f t="shared" si="5"/>
        <v>0</v>
      </c>
      <c r="G37" s="29">
        <f>일위대가목록!F4</f>
        <v>0</v>
      </c>
      <c r="H37" s="29">
        <f t="shared" si="6"/>
        <v>0</v>
      </c>
      <c r="I37" s="29">
        <f>일위대가목록!G4</f>
        <v>0</v>
      </c>
      <c r="J37" s="29">
        <f t="shared" si="7"/>
        <v>0</v>
      </c>
      <c r="K37" s="29">
        <f>일위대가목록!H4</f>
        <v>0</v>
      </c>
      <c r="L37" s="29">
        <f t="shared" si="8"/>
        <v>0</v>
      </c>
      <c r="M37" s="20" t="s">
        <v>1264</v>
      </c>
      <c r="P37" t="s">
        <v>784</v>
      </c>
      <c r="R37" t="s">
        <v>27</v>
      </c>
      <c r="T37" t="s">
        <v>1083</v>
      </c>
      <c r="BI37" s="52" t="str">
        <f>HYPERLINK("#일위대가목록!A4","SA01500 →")</f>
        <v>SA01500 →</v>
      </c>
    </row>
    <row r="38" spans="1:61" ht="18" customHeight="1">
      <c r="A38" s="11" t="s">
        <v>611</v>
      </c>
      <c r="B38" s="2" t="s">
        <v>1071</v>
      </c>
      <c r="C38" s="2">
        <v>16</v>
      </c>
      <c r="D38" s="2" t="s">
        <v>927</v>
      </c>
      <c r="E38" s="29">
        <f t="shared" si="4"/>
        <v>0</v>
      </c>
      <c r="F38" s="29">
        <f t="shared" si="5"/>
        <v>0</v>
      </c>
      <c r="G38" s="29">
        <f>일위대가목록!F5</f>
        <v>0</v>
      </c>
      <c r="H38" s="29">
        <f t="shared" si="6"/>
        <v>0</v>
      </c>
      <c r="I38" s="29">
        <f>일위대가목록!G5</f>
        <v>0</v>
      </c>
      <c r="J38" s="29">
        <f t="shared" si="7"/>
        <v>0</v>
      </c>
      <c r="K38" s="29">
        <f>일위대가목록!H5</f>
        <v>0</v>
      </c>
      <c r="L38" s="29">
        <f t="shared" si="8"/>
        <v>0</v>
      </c>
      <c r="M38" s="20" t="s">
        <v>542</v>
      </c>
      <c r="P38" t="s">
        <v>450</v>
      </c>
      <c r="R38" t="s">
        <v>727</v>
      </c>
      <c r="T38" t="s">
        <v>1083</v>
      </c>
      <c r="BI38" s="52" t="str">
        <f>HYPERLINK("#일위대가목록!A5","HAAAD040 →")</f>
        <v>HAAAD040 →</v>
      </c>
    </row>
    <row r="39" spans="1:61" ht="18" customHeight="1">
      <c r="A39" s="11" t="s">
        <v>31</v>
      </c>
      <c r="B39" s="2" t="s">
        <v>138</v>
      </c>
      <c r="C39" s="2">
        <v>6</v>
      </c>
      <c r="D39" s="2" t="s">
        <v>927</v>
      </c>
      <c r="E39" s="29">
        <f t="shared" si="4"/>
        <v>0</v>
      </c>
      <c r="F39" s="29">
        <f t="shared" si="5"/>
        <v>0</v>
      </c>
      <c r="G39" s="29">
        <f>일위대가목록!F6</f>
        <v>0</v>
      </c>
      <c r="H39" s="29">
        <f t="shared" si="6"/>
        <v>0</v>
      </c>
      <c r="I39" s="29">
        <f>일위대가목록!G6</f>
        <v>0</v>
      </c>
      <c r="J39" s="29">
        <f t="shared" si="7"/>
        <v>0</v>
      </c>
      <c r="K39" s="29">
        <f>일위대가목록!H6</f>
        <v>0</v>
      </c>
      <c r="L39" s="29">
        <f t="shared" si="8"/>
        <v>0</v>
      </c>
      <c r="M39" s="20" t="s">
        <v>1015</v>
      </c>
      <c r="P39" t="s">
        <v>139</v>
      </c>
      <c r="R39" t="s">
        <v>941</v>
      </c>
      <c r="T39" t="s">
        <v>1083</v>
      </c>
      <c r="BI39" s="52" t="str">
        <f>HYPERLINK("#일위대가목록!A6","HBAAD120 →")</f>
        <v>HBAAD120 →</v>
      </c>
    </row>
    <row r="40" spans="1:61" ht="18" customHeight="1">
      <c r="A40" s="11" t="s">
        <v>1016</v>
      </c>
      <c r="B40" s="2" t="s">
        <v>929</v>
      </c>
      <c r="C40" s="2">
        <v>7</v>
      </c>
      <c r="D40" s="2" t="s">
        <v>927</v>
      </c>
      <c r="E40" s="29">
        <f t="shared" si="4"/>
        <v>0</v>
      </c>
      <c r="F40" s="29">
        <f t="shared" si="5"/>
        <v>0</v>
      </c>
      <c r="G40" s="29">
        <f>일위대가목록!F7</f>
        <v>0</v>
      </c>
      <c r="H40" s="29">
        <f t="shared" si="6"/>
        <v>0</v>
      </c>
      <c r="I40" s="29">
        <f>일위대가목록!G7</f>
        <v>0</v>
      </c>
      <c r="J40" s="29">
        <f t="shared" si="7"/>
        <v>0</v>
      </c>
      <c r="K40" s="29">
        <f>일위대가목록!H7</f>
        <v>0</v>
      </c>
      <c r="L40" s="29">
        <f t="shared" si="8"/>
        <v>0</v>
      </c>
      <c r="M40" s="20" t="s">
        <v>449</v>
      </c>
      <c r="P40" t="s">
        <v>1095</v>
      </c>
      <c r="R40" t="s">
        <v>164</v>
      </c>
      <c r="T40" t="s">
        <v>1083</v>
      </c>
      <c r="BI40" s="52" t="str">
        <f>HYPERLINK("#일위대가목록!A7","SYTK00038 →")</f>
        <v>SYTK00038 →</v>
      </c>
    </row>
    <row r="41" spans="1:61" ht="18" customHeight="1">
      <c r="A41" s="11" t="s">
        <v>790</v>
      </c>
      <c r="B41" s="2" t="s">
        <v>274</v>
      </c>
      <c r="C41" s="2">
        <v>2</v>
      </c>
      <c r="D41" s="2" t="s">
        <v>927</v>
      </c>
      <c r="E41" s="29">
        <f t="shared" si="4"/>
        <v>0</v>
      </c>
      <c r="F41" s="29">
        <f t="shared" si="5"/>
        <v>0</v>
      </c>
      <c r="G41" s="29">
        <f>일위대가목록!F8</f>
        <v>0</v>
      </c>
      <c r="H41" s="29">
        <f t="shared" si="6"/>
        <v>0</v>
      </c>
      <c r="I41" s="29">
        <f>일위대가목록!G8</f>
        <v>0</v>
      </c>
      <c r="J41" s="29">
        <f t="shared" si="7"/>
        <v>0</v>
      </c>
      <c r="K41" s="29">
        <f>일위대가목록!H8</f>
        <v>0</v>
      </c>
      <c r="L41" s="29">
        <f t="shared" si="8"/>
        <v>0</v>
      </c>
      <c r="M41" s="20" t="s">
        <v>1140</v>
      </c>
      <c r="P41" t="s">
        <v>763</v>
      </c>
      <c r="R41" t="s">
        <v>1131</v>
      </c>
      <c r="T41" t="s">
        <v>1083</v>
      </c>
      <c r="BI41" s="52" t="str">
        <f>HYPERLINK("#일위대가목록!A8","HBABD040 →")</f>
        <v>HBABD040 →</v>
      </c>
    </row>
    <row r="42" spans="1:61" ht="18" customHeight="1">
      <c r="A42" s="11" t="s">
        <v>1040</v>
      </c>
      <c r="B42" s="2" t="s">
        <v>238</v>
      </c>
      <c r="C42" s="2">
        <v>2</v>
      </c>
      <c r="D42" s="2" t="s">
        <v>927</v>
      </c>
      <c r="E42" s="29">
        <f t="shared" si="4"/>
        <v>0</v>
      </c>
      <c r="F42" s="29">
        <f t="shared" si="5"/>
        <v>0</v>
      </c>
      <c r="G42" s="29">
        <f>일위대가목록!F9</f>
        <v>0</v>
      </c>
      <c r="H42" s="29">
        <f t="shared" si="6"/>
        <v>0</v>
      </c>
      <c r="I42" s="29">
        <f>일위대가목록!G9</f>
        <v>0</v>
      </c>
      <c r="J42" s="29">
        <f t="shared" si="7"/>
        <v>0</v>
      </c>
      <c r="K42" s="29">
        <f>일위대가목록!H9</f>
        <v>0</v>
      </c>
      <c r="L42" s="29">
        <f t="shared" si="8"/>
        <v>0</v>
      </c>
      <c r="M42" s="20" t="s">
        <v>594</v>
      </c>
      <c r="P42" t="s">
        <v>432</v>
      </c>
      <c r="R42" t="s">
        <v>776</v>
      </c>
      <c r="T42" t="s">
        <v>1083</v>
      </c>
      <c r="BI42" s="52" t="str">
        <f>HYPERLINK("#일위대가목록!A9","HEBB0062 →")</f>
        <v>HEBB0062 →</v>
      </c>
    </row>
    <row r="43" spans="1:15" ht="18" customHeight="1">
      <c r="A43" s="11" t="s">
        <v>1286</v>
      </c>
      <c r="B43" s="2" t="s">
        <v>1297</v>
      </c>
      <c r="C43" s="2">
        <v>1</v>
      </c>
      <c r="D43" s="2" t="s">
        <v>1025</v>
      </c>
      <c r="E43" s="1"/>
      <c r="F43" s="29">
        <f t="shared" si="5"/>
        <v>0</v>
      </c>
      <c r="G43" s="1"/>
      <c r="H43" s="29">
        <f>TRUNC(H45+H46+H47+H48+H49+H50+H51+H52+H53+H55+H56,0)</f>
        <v>0</v>
      </c>
      <c r="I43" s="1"/>
      <c r="J43" s="29">
        <f>TRUNC(J45+J46+J47+J48+J49+J50+J51+J52+J53+J55+J56,0)</f>
        <v>0</v>
      </c>
      <c r="K43" s="1"/>
      <c r="L43" s="29">
        <f>TRUNC(L45+L46+L47+L48+L49+L50+L51+L52+L53+L55+L56,0)</f>
        <v>0</v>
      </c>
      <c r="M43" s="20" t="s">
        <v>1297</v>
      </c>
      <c r="O43" t="s">
        <v>137</v>
      </c>
    </row>
    <row r="44" spans="1:18" ht="18" customHeight="1">
      <c r="A44" s="11" t="s">
        <v>971</v>
      </c>
      <c r="B44" s="2" t="s">
        <v>1297</v>
      </c>
      <c r="C44" s="2"/>
      <c r="D44" s="2" t="s">
        <v>1297</v>
      </c>
      <c r="E44" s="29">
        <f aca="true" t="shared" si="9" ref="E44:E56">G44+I44+K44</f>
        <v>0</v>
      </c>
      <c r="F44" s="29">
        <f t="shared" si="5"/>
        <v>0</v>
      </c>
      <c r="G44" s="1"/>
      <c r="H44" s="29">
        <f>TRUNC(H45+H46+H47,0)</f>
        <v>0</v>
      </c>
      <c r="I44" s="1"/>
      <c r="J44" s="29">
        <f>TRUNC(J45+J46+J47,0)</f>
        <v>0</v>
      </c>
      <c r="K44" s="1"/>
      <c r="L44" s="29">
        <f>TRUNC(L45+L46+L47,0)</f>
        <v>0</v>
      </c>
      <c r="M44" s="20" t="s">
        <v>1297</v>
      </c>
      <c r="P44" t="s">
        <v>166</v>
      </c>
    </row>
    <row r="45" spans="1:61" ht="18" customHeight="1">
      <c r="A45" s="11" t="s">
        <v>809</v>
      </c>
      <c r="B45" s="2" t="s">
        <v>900</v>
      </c>
      <c r="C45" s="2">
        <v>1</v>
      </c>
      <c r="D45" s="2" t="s">
        <v>807</v>
      </c>
      <c r="E45" s="29">
        <f t="shared" si="9"/>
        <v>0</v>
      </c>
      <c r="F45" s="29">
        <f t="shared" si="5"/>
        <v>0</v>
      </c>
      <c r="G45" s="29">
        <f>일위대가목록!F18</f>
        <v>0</v>
      </c>
      <c r="H45" s="29">
        <f aca="true" t="shared" si="10" ref="H45:H53">TRUNC(G45*C45,0)</f>
        <v>0</v>
      </c>
      <c r="I45" s="29">
        <f>일위대가목록!G18</f>
        <v>0</v>
      </c>
      <c r="J45" s="29">
        <f aca="true" t="shared" si="11" ref="J45:J53">TRUNC(I45*C45,0)</f>
        <v>0</v>
      </c>
      <c r="K45" s="29">
        <f>일위대가목록!H18</f>
        <v>0</v>
      </c>
      <c r="L45" s="29">
        <f aca="true" t="shared" si="12" ref="L45:L53">TRUNC(K45*C45,0)</f>
        <v>0</v>
      </c>
      <c r="M45" s="20" t="s">
        <v>453</v>
      </c>
      <c r="P45" t="s">
        <v>1113</v>
      </c>
      <c r="R45" t="s">
        <v>672</v>
      </c>
      <c r="T45" t="s">
        <v>802</v>
      </c>
      <c r="BI45" s="52" t="str">
        <f>HYPERLINK("#일위대가목록!A18","KAAJA2510 →")</f>
        <v>KAAJA2510 →</v>
      </c>
    </row>
    <row r="46" spans="1:61" ht="18" customHeight="1">
      <c r="A46" s="11" t="s">
        <v>809</v>
      </c>
      <c r="B46" s="2" t="s">
        <v>824</v>
      </c>
      <c r="C46" s="2">
        <v>2</v>
      </c>
      <c r="D46" s="2" t="s">
        <v>807</v>
      </c>
      <c r="E46" s="29">
        <f t="shared" si="9"/>
        <v>0</v>
      </c>
      <c r="F46" s="29">
        <f t="shared" si="5"/>
        <v>0</v>
      </c>
      <c r="G46" s="29">
        <f>일위대가목록!F19</f>
        <v>0</v>
      </c>
      <c r="H46" s="29">
        <f t="shared" si="10"/>
        <v>0</v>
      </c>
      <c r="I46" s="29">
        <f>일위대가목록!G19</f>
        <v>0</v>
      </c>
      <c r="J46" s="29">
        <f t="shared" si="11"/>
        <v>0</v>
      </c>
      <c r="K46" s="29">
        <f>일위대가목록!H19</f>
        <v>0</v>
      </c>
      <c r="L46" s="29">
        <f t="shared" si="12"/>
        <v>0</v>
      </c>
      <c r="M46" s="20" t="s">
        <v>997</v>
      </c>
      <c r="P46" t="s">
        <v>784</v>
      </c>
      <c r="R46" t="s">
        <v>35</v>
      </c>
      <c r="T46" t="s">
        <v>802</v>
      </c>
      <c r="BI46" s="52" t="str">
        <f>HYPERLINK("#일위대가목록!A19","KAAJA2515 →")</f>
        <v>KAAJA2515 →</v>
      </c>
    </row>
    <row r="47" spans="1:61" ht="18" customHeight="1">
      <c r="A47" s="11" t="s">
        <v>809</v>
      </c>
      <c r="B47" s="2" t="s">
        <v>1073</v>
      </c>
      <c r="C47" s="2">
        <v>1</v>
      </c>
      <c r="D47" s="2" t="s">
        <v>807</v>
      </c>
      <c r="E47" s="29">
        <f t="shared" si="9"/>
        <v>0</v>
      </c>
      <c r="F47" s="29">
        <f t="shared" si="5"/>
        <v>0</v>
      </c>
      <c r="G47" s="29">
        <f>일위대가목록!F20</f>
        <v>0</v>
      </c>
      <c r="H47" s="29">
        <f t="shared" si="10"/>
        <v>0</v>
      </c>
      <c r="I47" s="29">
        <f>일위대가목록!G20</f>
        <v>0</v>
      </c>
      <c r="J47" s="29">
        <f t="shared" si="11"/>
        <v>0</v>
      </c>
      <c r="K47" s="29">
        <f>일위대가목록!H20</f>
        <v>0</v>
      </c>
      <c r="L47" s="29">
        <f t="shared" si="12"/>
        <v>0</v>
      </c>
      <c r="M47" s="20" t="s">
        <v>518</v>
      </c>
      <c r="P47" t="s">
        <v>450</v>
      </c>
      <c r="R47" t="s">
        <v>363</v>
      </c>
      <c r="T47" t="s">
        <v>802</v>
      </c>
      <c r="BI47" s="52" t="str">
        <f>HYPERLINK("#일위대가목록!A20","KAAJA2520 →")</f>
        <v>KAAJA2520 →</v>
      </c>
    </row>
    <row r="48" spans="1:61" ht="18" customHeight="1">
      <c r="A48" s="11" t="s">
        <v>607</v>
      </c>
      <c r="B48" s="2" t="s">
        <v>241</v>
      </c>
      <c r="C48" s="2">
        <v>14</v>
      </c>
      <c r="D48" s="2" t="s">
        <v>807</v>
      </c>
      <c r="E48" s="29">
        <f t="shared" si="9"/>
        <v>0</v>
      </c>
      <c r="F48" s="29">
        <f t="shared" si="5"/>
        <v>0</v>
      </c>
      <c r="G48" s="29">
        <f>일위대가목록!F21</f>
        <v>0</v>
      </c>
      <c r="H48" s="29">
        <f t="shared" si="10"/>
        <v>0</v>
      </c>
      <c r="I48" s="29">
        <f>일위대가목록!G21</f>
        <v>0</v>
      </c>
      <c r="J48" s="29">
        <f t="shared" si="11"/>
        <v>0</v>
      </c>
      <c r="K48" s="29">
        <f>일위대가목록!H21</f>
        <v>0</v>
      </c>
      <c r="L48" s="29">
        <f t="shared" si="12"/>
        <v>0</v>
      </c>
      <c r="M48" s="20" t="s">
        <v>1296</v>
      </c>
      <c r="P48" t="s">
        <v>139</v>
      </c>
      <c r="R48" t="s">
        <v>1243</v>
      </c>
      <c r="T48" t="s">
        <v>802</v>
      </c>
      <c r="BI48" s="52" t="str">
        <f>HYPERLINK("#일위대가목록!A21","KAABA0100 →")</f>
        <v>KAABA0100 →</v>
      </c>
    </row>
    <row r="49" spans="1:61" ht="18" customHeight="1">
      <c r="A49" s="11" t="s">
        <v>599</v>
      </c>
      <c r="B49" s="2" t="s">
        <v>332</v>
      </c>
      <c r="C49" s="2">
        <v>5</v>
      </c>
      <c r="D49" s="2" t="s">
        <v>736</v>
      </c>
      <c r="E49" s="29">
        <f t="shared" si="9"/>
        <v>0</v>
      </c>
      <c r="F49" s="29">
        <f t="shared" si="5"/>
        <v>0</v>
      </c>
      <c r="G49" s="29">
        <f>일위대가목록!F22</f>
        <v>0</v>
      </c>
      <c r="H49" s="29">
        <f t="shared" si="10"/>
        <v>0</v>
      </c>
      <c r="I49" s="29">
        <f>일위대가목록!G22</f>
        <v>0</v>
      </c>
      <c r="J49" s="29">
        <f t="shared" si="11"/>
        <v>0</v>
      </c>
      <c r="K49" s="29">
        <f>일위대가목록!H22</f>
        <v>0</v>
      </c>
      <c r="L49" s="29">
        <f t="shared" si="12"/>
        <v>0</v>
      </c>
      <c r="M49" s="20" t="s">
        <v>334</v>
      </c>
      <c r="P49" t="s">
        <v>1095</v>
      </c>
      <c r="R49" t="s">
        <v>886</v>
      </c>
      <c r="T49" t="s">
        <v>802</v>
      </c>
      <c r="BI49" s="52" t="str">
        <f>HYPERLINK("#일위대가목록!A22","KSJSB0100 →")</f>
        <v>KSJSB0100 →</v>
      </c>
    </row>
    <row r="50" spans="1:61" ht="18" customHeight="1">
      <c r="A50" s="11" t="s">
        <v>742</v>
      </c>
      <c r="B50" s="2" t="s">
        <v>642</v>
      </c>
      <c r="C50" s="2">
        <v>28</v>
      </c>
      <c r="D50" s="2" t="s">
        <v>807</v>
      </c>
      <c r="E50" s="29">
        <f t="shared" si="9"/>
        <v>0</v>
      </c>
      <c r="F50" s="29">
        <f t="shared" si="5"/>
        <v>0</v>
      </c>
      <c r="G50" s="29">
        <f>일위대가목록!F23</f>
        <v>0</v>
      </c>
      <c r="H50" s="29">
        <f t="shared" si="10"/>
        <v>0</v>
      </c>
      <c r="I50" s="29">
        <f>일위대가목록!G23</f>
        <v>0</v>
      </c>
      <c r="J50" s="29">
        <f t="shared" si="11"/>
        <v>0</v>
      </c>
      <c r="K50" s="29">
        <f>일위대가목록!H23</f>
        <v>0</v>
      </c>
      <c r="L50" s="29">
        <f t="shared" si="12"/>
        <v>0</v>
      </c>
      <c r="M50" s="20" t="s">
        <v>1053</v>
      </c>
      <c r="P50" t="s">
        <v>763</v>
      </c>
      <c r="R50" t="s">
        <v>1078</v>
      </c>
      <c r="T50" t="s">
        <v>802</v>
      </c>
      <c r="BI50" s="52" t="str">
        <f>HYPERLINK("#일위대가목록!A23","KPDCIP0103 →")</f>
        <v>KPDCIP0103 →</v>
      </c>
    </row>
    <row r="51" spans="1:61" ht="18" customHeight="1">
      <c r="A51" s="11" t="s">
        <v>781</v>
      </c>
      <c r="B51" s="2" t="s">
        <v>241</v>
      </c>
      <c r="C51" s="2">
        <v>5</v>
      </c>
      <c r="D51" s="2" t="s">
        <v>807</v>
      </c>
      <c r="E51" s="29">
        <f t="shared" si="9"/>
        <v>0</v>
      </c>
      <c r="F51" s="29">
        <f t="shared" si="5"/>
        <v>0</v>
      </c>
      <c r="G51" s="29">
        <f>일위대가목록!F24</f>
        <v>0</v>
      </c>
      <c r="H51" s="29">
        <f t="shared" si="10"/>
        <v>0</v>
      </c>
      <c r="I51" s="29">
        <f>일위대가목록!G24</f>
        <v>0</v>
      </c>
      <c r="J51" s="29">
        <f t="shared" si="11"/>
        <v>0</v>
      </c>
      <c r="K51" s="29">
        <f>일위대가목록!H24</f>
        <v>0</v>
      </c>
      <c r="L51" s="29">
        <f t="shared" si="12"/>
        <v>0</v>
      </c>
      <c r="M51" s="20" t="s">
        <v>318</v>
      </c>
      <c r="P51" t="s">
        <v>432</v>
      </c>
      <c r="R51" t="s">
        <v>579</v>
      </c>
      <c r="T51" t="s">
        <v>802</v>
      </c>
      <c r="BI51" s="52" t="str">
        <f>HYPERLINK("#일위대가목록!A24","KPDCIP0104 →")</f>
        <v>KPDCIP0104 →</v>
      </c>
    </row>
    <row r="52" spans="1:61" ht="18" customHeight="1">
      <c r="A52" s="11" t="s">
        <v>1160</v>
      </c>
      <c r="B52" s="2" t="s">
        <v>241</v>
      </c>
      <c r="C52" s="2">
        <v>22</v>
      </c>
      <c r="D52" s="2" t="s">
        <v>807</v>
      </c>
      <c r="E52" s="29">
        <f t="shared" si="9"/>
        <v>0</v>
      </c>
      <c r="F52" s="29">
        <f t="shared" si="5"/>
        <v>0</v>
      </c>
      <c r="G52" s="29">
        <f>일위대가목록!F25</f>
        <v>0</v>
      </c>
      <c r="H52" s="29">
        <f t="shared" si="10"/>
        <v>0</v>
      </c>
      <c r="I52" s="29">
        <f>일위대가목록!G25</f>
        <v>0</v>
      </c>
      <c r="J52" s="29">
        <f t="shared" si="11"/>
        <v>0</v>
      </c>
      <c r="K52" s="29">
        <f>일위대가목록!H25</f>
        <v>0</v>
      </c>
      <c r="L52" s="29">
        <f t="shared" si="12"/>
        <v>0</v>
      </c>
      <c r="M52" s="20" t="s">
        <v>1059</v>
      </c>
      <c r="P52" t="s">
        <v>112</v>
      </c>
      <c r="R52" t="s">
        <v>315</v>
      </c>
      <c r="T52" t="s">
        <v>802</v>
      </c>
      <c r="BI52" s="52" t="str">
        <f>HYPERLINK("#일위대가목록!A25","KPDCIP0102 →")</f>
        <v>KPDCIP0102 →</v>
      </c>
    </row>
    <row r="53" spans="1:61" ht="18" customHeight="1">
      <c r="A53" s="11" t="s">
        <v>392</v>
      </c>
      <c r="B53" s="2" t="s">
        <v>632</v>
      </c>
      <c r="C53" s="2">
        <v>4</v>
      </c>
      <c r="D53" s="2" t="s">
        <v>807</v>
      </c>
      <c r="E53" s="29">
        <f t="shared" si="9"/>
        <v>0</v>
      </c>
      <c r="F53" s="29">
        <f t="shared" si="5"/>
        <v>0</v>
      </c>
      <c r="G53" s="29">
        <f>일위대가목록!F26</f>
        <v>0</v>
      </c>
      <c r="H53" s="29">
        <f t="shared" si="10"/>
        <v>0</v>
      </c>
      <c r="I53" s="29">
        <f>일위대가목록!G26</f>
        <v>0</v>
      </c>
      <c r="J53" s="29">
        <f t="shared" si="11"/>
        <v>0</v>
      </c>
      <c r="K53" s="29">
        <f>일위대가목록!H26</f>
        <v>0</v>
      </c>
      <c r="L53" s="29">
        <f t="shared" si="12"/>
        <v>0</v>
      </c>
      <c r="M53" s="20" t="s">
        <v>525</v>
      </c>
      <c r="P53" t="s">
        <v>106</v>
      </c>
      <c r="R53" t="s">
        <v>845</v>
      </c>
      <c r="T53" t="s">
        <v>802</v>
      </c>
      <c r="BI53" s="52" t="str">
        <f>HYPERLINK("#일위대가목록!A26","YD00360 →")</f>
        <v>YD00360 →</v>
      </c>
    </row>
    <row r="54" spans="1:18" ht="18" customHeight="1">
      <c r="A54" s="11" t="s">
        <v>102</v>
      </c>
      <c r="B54" s="2" t="s">
        <v>1297</v>
      </c>
      <c r="C54" s="2"/>
      <c r="D54" s="2" t="s">
        <v>1297</v>
      </c>
      <c r="E54" s="29">
        <f t="shared" si="9"/>
        <v>0</v>
      </c>
      <c r="F54" s="29">
        <f t="shared" si="5"/>
        <v>0</v>
      </c>
      <c r="G54" s="1"/>
      <c r="H54" s="29">
        <f>TRUNC(H55+H56,0)</f>
        <v>0</v>
      </c>
      <c r="I54" s="1"/>
      <c r="J54" s="29">
        <f>TRUNC(J55+J56,0)</f>
        <v>0</v>
      </c>
      <c r="K54" s="1"/>
      <c r="L54" s="29">
        <f>TRUNC(L55+L56,0)</f>
        <v>0</v>
      </c>
      <c r="M54" s="20" t="s">
        <v>1297</v>
      </c>
      <c r="P54" t="s">
        <v>412</v>
      </c>
    </row>
    <row r="55" spans="1:61" ht="18" customHeight="1">
      <c r="A55" s="11" t="s">
        <v>557</v>
      </c>
      <c r="B55" s="2" t="s">
        <v>1207</v>
      </c>
      <c r="C55" s="2">
        <v>1</v>
      </c>
      <c r="D55" s="2" t="s">
        <v>580</v>
      </c>
      <c r="E55" s="29">
        <f t="shared" si="9"/>
        <v>0</v>
      </c>
      <c r="F55" s="29">
        <f t="shared" si="5"/>
        <v>0</v>
      </c>
      <c r="G55" s="29">
        <f>일위대가목록!F27</f>
        <v>0</v>
      </c>
      <c r="H55" s="29">
        <f>TRUNC(G55*C55,0)</f>
        <v>0</v>
      </c>
      <c r="I55" s="29">
        <f>일위대가목록!G27</f>
        <v>0</v>
      </c>
      <c r="J55" s="29">
        <f>TRUNC(I55*C55,0)</f>
        <v>0</v>
      </c>
      <c r="K55" s="29">
        <f>일위대가목록!H27</f>
        <v>0</v>
      </c>
      <c r="L55" s="29">
        <f>TRUNC(K55*C55,0)</f>
        <v>0</v>
      </c>
      <c r="M55" s="20" t="s">
        <v>1284</v>
      </c>
      <c r="P55" t="s">
        <v>755</v>
      </c>
      <c r="R55" t="s">
        <v>851</v>
      </c>
      <c r="T55" t="s">
        <v>802</v>
      </c>
      <c r="BI55" s="52" t="str">
        <f>HYPERLINK("#일위대가목록!A27","KSJSB0104 →")</f>
        <v>KSJSB0104 →</v>
      </c>
    </row>
    <row r="56" spans="1:61" ht="18" customHeight="1">
      <c r="A56" s="11" t="s">
        <v>779</v>
      </c>
      <c r="B56" s="2" t="s">
        <v>240</v>
      </c>
      <c r="C56" s="2">
        <v>4</v>
      </c>
      <c r="D56" s="2" t="s">
        <v>580</v>
      </c>
      <c r="E56" s="29">
        <f t="shared" si="9"/>
        <v>0</v>
      </c>
      <c r="F56" s="29">
        <f t="shared" si="5"/>
        <v>0</v>
      </c>
      <c r="G56" s="29">
        <f>일위대가목록!F28</f>
        <v>0</v>
      </c>
      <c r="H56" s="29">
        <f>TRUNC(G56*C56,0)</f>
        <v>0</v>
      </c>
      <c r="I56" s="29">
        <f>일위대가목록!G28</f>
        <v>0</v>
      </c>
      <c r="J56" s="29">
        <f>TRUNC(I56*C56,0)</f>
        <v>0</v>
      </c>
      <c r="K56" s="29">
        <f>일위대가목록!H28</f>
        <v>0</v>
      </c>
      <c r="L56" s="29">
        <f>TRUNC(K56*C56,0)</f>
        <v>0</v>
      </c>
      <c r="M56" s="20" t="s">
        <v>339</v>
      </c>
      <c r="P56" t="s">
        <v>1075</v>
      </c>
      <c r="R56" t="s">
        <v>785</v>
      </c>
      <c r="T56" t="s">
        <v>802</v>
      </c>
      <c r="BI56" s="52" t="str">
        <f>HYPERLINK("#일위대가목록!A28","KSJSB0102 →")</f>
        <v>KSJSB0102 →</v>
      </c>
    </row>
    <row r="57" spans="1:15" ht="18" customHeight="1">
      <c r="A57" s="11" t="s">
        <v>1279</v>
      </c>
      <c r="B57" s="2" t="s">
        <v>1297</v>
      </c>
      <c r="C57" s="2">
        <v>1</v>
      </c>
      <c r="D57" s="2" t="s">
        <v>1025</v>
      </c>
      <c r="E57" s="1"/>
      <c r="F57" s="29">
        <f t="shared" si="5"/>
        <v>0</v>
      </c>
      <c r="G57" s="1"/>
      <c r="H57" s="29">
        <f>TRUNC(H58,0)</f>
        <v>0</v>
      </c>
      <c r="I57" s="1"/>
      <c r="J57" s="29">
        <f>TRUNC(J58,0)</f>
        <v>0</v>
      </c>
      <c r="K57" s="1"/>
      <c r="L57" s="29">
        <f>TRUNC(L58,0)</f>
        <v>0</v>
      </c>
      <c r="M57" s="20" t="s">
        <v>1297</v>
      </c>
      <c r="O57" t="s">
        <v>692</v>
      </c>
    </row>
    <row r="58" spans="1:61" ht="18" customHeight="1">
      <c r="A58" s="11" t="s">
        <v>1217</v>
      </c>
      <c r="B58" s="2" t="s">
        <v>74</v>
      </c>
      <c r="C58" s="2">
        <v>14</v>
      </c>
      <c r="D58" s="2" t="s">
        <v>993</v>
      </c>
      <c r="E58" s="29">
        <f>G58+I58+K58</f>
        <v>0</v>
      </c>
      <c r="F58" s="29">
        <f t="shared" si="5"/>
        <v>0</v>
      </c>
      <c r="G58" s="29">
        <f>일위대가목록!F10</f>
        <v>0</v>
      </c>
      <c r="H58" s="29">
        <f>TRUNC(G58*C58,0)</f>
        <v>0</v>
      </c>
      <c r="I58" s="29">
        <f>일위대가목록!G10</f>
        <v>0</v>
      </c>
      <c r="J58" s="29">
        <f>TRUNC(I58*C58,0)</f>
        <v>0</v>
      </c>
      <c r="K58" s="29">
        <f>일위대가목록!H10</f>
        <v>0</v>
      </c>
      <c r="L58" s="29">
        <f>TRUNC(K58*C58,0)</f>
        <v>0</v>
      </c>
      <c r="M58" s="20" t="s">
        <v>1161</v>
      </c>
      <c r="P58" t="s">
        <v>166</v>
      </c>
      <c r="R58" t="s">
        <v>409</v>
      </c>
      <c r="T58" t="s">
        <v>1083</v>
      </c>
      <c r="BI58" s="52" t="str">
        <f>HYPERLINK("#일위대가목록!A10","K0000520 →")</f>
        <v>K0000520 →</v>
      </c>
    </row>
    <row r="59" spans="1:15" ht="18" customHeight="1">
      <c r="A59" s="11" t="s">
        <v>838</v>
      </c>
      <c r="B59" s="2" t="s">
        <v>1297</v>
      </c>
      <c r="C59" s="2">
        <v>1</v>
      </c>
      <c r="D59" s="2" t="s">
        <v>1025</v>
      </c>
      <c r="E59" s="1"/>
      <c r="F59" s="29">
        <f t="shared" si="5"/>
        <v>0</v>
      </c>
      <c r="G59" s="1"/>
      <c r="H59" s="29">
        <f>TRUNC(H60+H62+H63+H64+H65+H67+H68+H69,0)</f>
        <v>0</v>
      </c>
      <c r="I59" s="1"/>
      <c r="J59" s="29">
        <f>TRUNC(J60+J62+J63+J64+J65+J67+J68+J69,0)</f>
        <v>0</v>
      </c>
      <c r="K59" s="1"/>
      <c r="L59" s="29">
        <f>TRUNC(L60+L62+L63+L64+L65+L67+L68+L69,0)</f>
        <v>0</v>
      </c>
      <c r="M59" s="20" t="s">
        <v>1297</v>
      </c>
      <c r="O59" t="s">
        <v>246</v>
      </c>
    </row>
    <row r="60" spans="1:61" ht="18" customHeight="1">
      <c r="A60" s="11" t="s">
        <v>327</v>
      </c>
      <c r="B60" s="2" t="s">
        <v>1297</v>
      </c>
      <c r="C60" s="2">
        <v>4</v>
      </c>
      <c r="D60" s="2" t="s">
        <v>807</v>
      </c>
      <c r="E60" s="29">
        <f aca="true" t="shared" si="13" ref="E60:E69">G60+I60+K60</f>
        <v>0</v>
      </c>
      <c r="F60" s="29">
        <f t="shared" si="5"/>
        <v>0</v>
      </c>
      <c r="G60" s="29">
        <f>일위대가목록!F29</f>
        <v>0</v>
      </c>
      <c r="H60" s="29">
        <f>TRUNC(G60*C60,0)</f>
        <v>0</v>
      </c>
      <c r="I60" s="29">
        <f>일위대가목록!G29</f>
        <v>0</v>
      </c>
      <c r="J60" s="29">
        <f>TRUNC(I60*C60,0)</f>
        <v>0</v>
      </c>
      <c r="K60" s="29">
        <f>일위대가목록!H29</f>
        <v>0</v>
      </c>
      <c r="L60" s="29">
        <f>TRUNC(K60*C60,0)</f>
        <v>0</v>
      </c>
      <c r="M60" s="20" t="s">
        <v>1039</v>
      </c>
      <c r="P60" t="s">
        <v>166</v>
      </c>
      <c r="R60" t="s">
        <v>1242</v>
      </c>
      <c r="T60" t="s">
        <v>802</v>
      </c>
      <c r="BI60" s="52" t="str">
        <f>HYPERLINK("#일위대가목록!A29","SOE5700 →")</f>
        <v>SOE5700 →</v>
      </c>
    </row>
    <row r="61" spans="1:18" ht="18" customHeight="1">
      <c r="A61" s="11" t="s">
        <v>813</v>
      </c>
      <c r="B61" s="2" t="s">
        <v>1297</v>
      </c>
      <c r="C61" s="2"/>
      <c r="D61" s="2" t="s">
        <v>1025</v>
      </c>
      <c r="E61" s="29">
        <f t="shared" si="13"/>
        <v>0</v>
      </c>
      <c r="F61" s="29">
        <f t="shared" si="5"/>
        <v>0</v>
      </c>
      <c r="G61" s="1"/>
      <c r="H61" s="29">
        <f>TRUNC(H62+H63+H64+H65,0)</f>
        <v>0</v>
      </c>
      <c r="I61" s="1"/>
      <c r="J61" s="29">
        <f>TRUNC(J62+J63+J64+J65,0)</f>
        <v>0</v>
      </c>
      <c r="K61" s="1"/>
      <c r="L61" s="29">
        <f>TRUNC(L62+L63+L64+L65,0)</f>
        <v>0</v>
      </c>
      <c r="M61" s="20" t="s">
        <v>1297</v>
      </c>
      <c r="P61" t="s">
        <v>1113</v>
      </c>
    </row>
    <row r="62" spans="1:61" ht="18" customHeight="1">
      <c r="A62" s="11" t="s">
        <v>738</v>
      </c>
      <c r="B62" s="2" t="s">
        <v>850</v>
      </c>
      <c r="C62" s="2">
        <v>40</v>
      </c>
      <c r="D62" s="2" t="s">
        <v>757</v>
      </c>
      <c r="E62" s="29">
        <f t="shared" si="13"/>
        <v>0</v>
      </c>
      <c r="F62" s="29">
        <f t="shared" si="5"/>
        <v>0</v>
      </c>
      <c r="G62" s="29">
        <f>일위대가목록!F11</f>
        <v>0</v>
      </c>
      <c r="H62" s="29">
        <f>TRUNC(G62*C62,0)</f>
        <v>0</v>
      </c>
      <c r="I62" s="29">
        <f>일위대가목록!G11</f>
        <v>0</v>
      </c>
      <c r="J62" s="29">
        <f>TRUNC(I62*C62,0)</f>
        <v>0</v>
      </c>
      <c r="K62" s="29">
        <f>일위대가목록!H11</f>
        <v>0</v>
      </c>
      <c r="L62" s="29">
        <f>TRUNC(K62*C62,0)</f>
        <v>0</v>
      </c>
      <c r="M62" s="20" t="s">
        <v>550</v>
      </c>
      <c r="P62" t="s">
        <v>784</v>
      </c>
      <c r="R62" t="s">
        <v>759</v>
      </c>
      <c r="T62" t="s">
        <v>1083</v>
      </c>
      <c r="BI62" s="52" t="str">
        <f>HYPERLINK("#일위대가목록!A11","TBA0A003 →")</f>
        <v>TBA0A003 →</v>
      </c>
    </row>
    <row r="63" spans="1:61" ht="18" customHeight="1">
      <c r="A63" s="11" t="s">
        <v>896</v>
      </c>
      <c r="B63" s="2" t="s">
        <v>120</v>
      </c>
      <c r="C63" s="2">
        <v>5</v>
      </c>
      <c r="D63" s="2" t="s">
        <v>812</v>
      </c>
      <c r="E63" s="29">
        <f t="shared" si="13"/>
        <v>0</v>
      </c>
      <c r="F63" s="29">
        <f t="shared" si="5"/>
        <v>0</v>
      </c>
      <c r="G63" s="29">
        <f>일위대가목록!F30</f>
        <v>0</v>
      </c>
      <c r="H63" s="29">
        <f>TRUNC(G63*C63,0)</f>
        <v>0</v>
      </c>
      <c r="I63" s="29">
        <f>일위대가목록!G30</f>
        <v>0</v>
      </c>
      <c r="J63" s="29">
        <f>TRUNC(I63*C63,0)</f>
        <v>0</v>
      </c>
      <c r="K63" s="29">
        <f>일위대가목록!H30</f>
        <v>0</v>
      </c>
      <c r="L63" s="29">
        <f>TRUNC(K63*C63,0)</f>
        <v>0</v>
      </c>
      <c r="M63" s="20" t="s">
        <v>562</v>
      </c>
      <c r="P63" t="s">
        <v>450</v>
      </c>
      <c r="R63" t="s">
        <v>608</v>
      </c>
      <c r="T63" t="s">
        <v>802</v>
      </c>
      <c r="BI63" s="52" t="str">
        <f>HYPERLINK("#일위대가목록!A30","TB0A0003 →")</f>
        <v>TB0A0003 →</v>
      </c>
    </row>
    <row r="64" spans="1:61" ht="18" customHeight="1">
      <c r="A64" s="11" t="s">
        <v>896</v>
      </c>
      <c r="B64" s="2" t="s">
        <v>856</v>
      </c>
      <c r="C64" s="2">
        <v>5</v>
      </c>
      <c r="D64" s="2" t="s">
        <v>812</v>
      </c>
      <c r="E64" s="29">
        <f t="shared" si="13"/>
        <v>0</v>
      </c>
      <c r="F64" s="29">
        <f t="shared" si="5"/>
        <v>0</v>
      </c>
      <c r="G64" s="29">
        <f>일위대가목록!F31</f>
        <v>0</v>
      </c>
      <c r="H64" s="29">
        <f>TRUNC(G64*C64,0)</f>
        <v>0</v>
      </c>
      <c r="I64" s="29">
        <f>일위대가목록!G31</f>
        <v>0</v>
      </c>
      <c r="J64" s="29">
        <f>TRUNC(I64*C64,0)</f>
        <v>0</v>
      </c>
      <c r="K64" s="29">
        <f>일위대가목록!H31</f>
        <v>0</v>
      </c>
      <c r="L64" s="29">
        <f>TRUNC(K64*C64,0)</f>
        <v>0</v>
      </c>
      <c r="M64" s="20" t="s">
        <v>1157</v>
      </c>
      <c r="P64" t="s">
        <v>139</v>
      </c>
      <c r="R64" t="s">
        <v>1093</v>
      </c>
      <c r="T64" t="s">
        <v>802</v>
      </c>
      <c r="BI64" s="52" t="str">
        <f>HYPERLINK("#일위대가목록!A31","TB0A0004 →")</f>
        <v>TB0A0004 →</v>
      </c>
    </row>
    <row r="65" spans="1:61" ht="18" customHeight="1">
      <c r="A65" s="11" t="s">
        <v>928</v>
      </c>
      <c r="B65" s="2" t="s">
        <v>265</v>
      </c>
      <c r="C65" s="2">
        <v>40</v>
      </c>
      <c r="D65" s="2" t="s">
        <v>1067</v>
      </c>
      <c r="E65" s="29">
        <f t="shared" si="13"/>
        <v>0</v>
      </c>
      <c r="F65" s="29">
        <f t="shared" si="5"/>
        <v>0</v>
      </c>
      <c r="G65" s="29">
        <f>일위대가목록!F32</f>
        <v>0</v>
      </c>
      <c r="H65" s="29">
        <f>TRUNC(G65*C65,0)</f>
        <v>0</v>
      </c>
      <c r="I65" s="29">
        <f>일위대가목록!G32</f>
        <v>0</v>
      </c>
      <c r="J65" s="29">
        <f>TRUNC(I65*C65,0)</f>
        <v>0</v>
      </c>
      <c r="K65" s="29">
        <f>일위대가목록!H32</f>
        <v>0</v>
      </c>
      <c r="L65" s="29">
        <f>TRUNC(K65*C65,0)</f>
        <v>0</v>
      </c>
      <c r="M65" s="20" t="s">
        <v>462</v>
      </c>
      <c r="P65" t="s">
        <v>1095</v>
      </c>
      <c r="R65" t="s">
        <v>259</v>
      </c>
      <c r="T65" t="s">
        <v>802</v>
      </c>
      <c r="BI65" s="52" t="str">
        <f>HYPERLINK("#일위대가목록!A32","TBC20020 →")</f>
        <v>TBC20020 →</v>
      </c>
    </row>
    <row r="66" spans="1:18" ht="18" customHeight="1">
      <c r="A66" s="11" t="s">
        <v>895</v>
      </c>
      <c r="B66" s="2" t="s">
        <v>1297</v>
      </c>
      <c r="C66" s="2"/>
      <c r="D66" s="2" t="s">
        <v>1025</v>
      </c>
      <c r="E66" s="29">
        <f t="shared" si="13"/>
        <v>0</v>
      </c>
      <c r="F66" s="29">
        <f t="shared" si="5"/>
        <v>0</v>
      </c>
      <c r="G66" s="1"/>
      <c r="H66" s="29">
        <f>TRUNC(H67+H68+H69,0)</f>
        <v>0</v>
      </c>
      <c r="I66" s="1"/>
      <c r="J66" s="29">
        <f>TRUNC(J67+J68+J69,0)</f>
        <v>0</v>
      </c>
      <c r="K66" s="1"/>
      <c r="L66" s="29">
        <f>TRUNC(L67+L68+L69,0)</f>
        <v>0</v>
      </c>
      <c r="M66" s="20" t="s">
        <v>1297</v>
      </c>
      <c r="P66" t="s">
        <v>763</v>
      </c>
    </row>
    <row r="67" spans="1:61" ht="18" customHeight="1">
      <c r="A67" s="11" t="s">
        <v>1235</v>
      </c>
      <c r="B67" s="2" t="s">
        <v>158</v>
      </c>
      <c r="C67" s="2">
        <v>1</v>
      </c>
      <c r="D67" s="2" t="s">
        <v>1025</v>
      </c>
      <c r="E67" s="29">
        <f t="shared" si="13"/>
        <v>0</v>
      </c>
      <c r="F67" s="29">
        <f t="shared" si="5"/>
        <v>0</v>
      </c>
      <c r="G67" s="29">
        <f>일위대가목록!F12</f>
        <v>0</v>
      </c>
      <c r="H67" s="29">
        <f>TRUNC(G67*C67,0)</f>
        <v>0</v>
      </c>
      <c r="I67" s="29">
        <f>일위대가목록!G12</f>
        <v>0</v>
      </c>
      <c r="J67" s="29">
        <f>TRUNC(I67*C67,0)</f>
        <v>0</v>
      </c>
      <c r="K67" s="29">
        <f>일위대가목록!H12</f>
        <v>0</v>
      </c>
      <c r="L67" s="29">
        <f>TRUNC(K67*C67,0)</f>
        <v>0</v>
      </c>
      <c r="M67" s="20" t="s">
        <v>988</v>
      </c>
      <c r="P67" t="s">
        <v>432</v>
      </c>
      <c r="R67" t="s">
        <v>457</v>
      </c>
      <c r="T67" t="s">
        <v>1083</v>
      </c>
      <c r="BI67" s="52" t="str">
        <f>HYPERLINK("#일위대가목록!A12","WB000000 →")</f>
        <v>WB000000 →</v>
      </c>
    </row>
    <row r="68" spans="1:61" ht="18" customHeight="1">
      <c r="A68" s="11" t="s">
        <v>30</v>
      </c>
      <c r="B68" s="2" t="s">
        <v>904</v>
      </c>
      <c r="C68" s="2">
        <v>1.577</v>
      </c>
      <c r="D68" s="2" t="s">
        <v>426</v>
      </c>
      <c r="E68" s="29">
        <f t="shared" si="13"/>
        <v>0</v>
      </c>
      <c r="F68" s="29">
        <f aca="true" t="shared" si="14" ref="F68:F91">H68+J68+L68</f>
        <v>0</v>
      </c>
      <c r="G68" s="29">
        <f>일위대가목록!F13</f>
        <v>0</v>
      </c>
      <c r="H68" s="29">
        <f>TRUNC(G68*C68,0)</f>
        <v>0</v>
      </c>
      <c r="I68" s="29">
        <f>일위대가목록!G13</f>
        <v>0</v>
      </c>
      <c r="J68" s="29">
        <f>TRUNC(I68*C68,0)</f>
        <v>0</v>
      </c>
      <c r="K68" s="29">
        <f>일위대가목록!H13</f>
        <v>0</v>
      </c>
      <c r="L68" s="29">
        <f>TRUNC(K68*C68,0)</f>
        <v>0</v>
      </c>
      <c r="M68" s="20" t="s">
        <v>401</v>
      </c>
      <c r="P68" t="s">
        <v>112</v>
      </c>
      <c r="R68" t="s">
        <v>212</v>
      </c>
      <c r="T68" t="s">
        <v>1083</v>
      </c>
      <c r="BI68" s="52" t="str">
        <f>HYPERLINK("#일위대가목록!A13","WE0A0700 →")</f>
        <v>WE0A0700 →</v>
      </c>
    </row>
    <row r="69" spans="1:61" ht="18" customHeight="1">
      <c r="A69" s="11" t="s">
        <v>849</v>
      </c>
      <c r="B69" s="2" t="s">
        <v>142</v>
      </c>
      <c r="C69" s="2">
        <v>5</v>
      </c>
      <c r="D69" s="2" t="s">
        <v>1067</v>
      </c>
      <c r="E69" s="29">
        <f t="shared" si="13"/>
        <v>0</v>
      </c>
      <c r="F69" s="29">
        <f t="shared" si="14"/>
        <v>0</v>
      </c>
      <c r="G69" s="29">
        <f>중기사용료목록!E17</f>
        <v>0</v>
      </c>
      <c r="H69" s="29">
        <f>TRUNC(G69*C69,0)</f>
        <v>0</v>
      </c>
      <c r="I69" s="29">
        <f>중기사용료목록!F17</f>
        <v>0</v>
      </c>
      <c r="J69" s="29">
        <f>TRUNC(I69*C69,0)</f>
        <v>0</v>
      </c>
      <c r="K69" s="29">
        <f>중기사용료목록!G17</f>
        <v>0</v>
      </c>
      <c r="L69" s="29">
        <f>TRUNC(K69*C69,0)</f>
        <v>0</v>
      </c>
      <c r="M69" s="20" t="s">
        <v>956</v>
      </c>
      <c r="P69" t="s">
        <v>106</v>
      </c>
      <c r="R69" t="s">
        <v>956</v>
      </c>
      <c r="BI69" s="52" t="str">
        <f>HYPERLINK("#중기사용료목록!A17","E0025020050 →")</f>
        <v>E0025020050 →</v>
      </c>
    </row>
    <row r="70" spans="1:15" ht="18" customHeight="1">
      <c r="A70" s="11" t="s">
        <v>335</v>
      </c>
      <c r="B70" s="2" t="s">
        <v>1297</v>
      </c>
      <c r="C70" s="2">
        <v>1</v>
      </c>
      <c r="D70" s="2" t="s">
        <v>1025</v>
      </c>
      <c r="E70" s="1"/>
      <c r="F70" s="29">
        <f t="shared" si="14"/>
        <v>0</v>
      </c>
      <c r="G70" s="1"/>
      <c r="H70" s="29">
        <f>TRUNC(H72+H73+H74+H76+H77+H78+H80+H81+H82+H84+H85+H86,0)</f>
        <v>0</v>
      </c>
      <c r="I70" s="1"/>
      <c r="J70" s="29">
        <f>TRUNC(J72+J73+J74+J76+J77+J78+J80+J81+J82+J84+J85+J86,0)</f>
        <v>0</v>
      </c>
      <c r="K70" s="1"/>
      <c r="L70" s="29">
        <f>TRUNC(L72+L73+L74+L76+L77+L78+L80+L81+L82+L84+L85+L86,0)</f>
        <v>0</v>
      </c>
      <c r="M70" s="20" t="s">
        <v>1297</v>
      </c>
      <c r="O70" t="s">
        <v>919</v>
      </c>
    </row>
    <row r="71" spans="1:18" ht="18" customHeight="1">
      <c r="A71" s="11" t="s">
        <v>144</v>
      </c>
      <c r="B71" s="2" t="s">
        <v>1297</v>
      </c>
      <c r="C71" s="2"/>
      <c r="D71" s="2" t="s">
        <v>1297</v>
      </c>
      <c r="E71" s="29">
        <f aca="true" t="shared" si="15" ref="E71:E87">G71+I71+K71</f>
        <v>0</v>
      </c>
      <c r="F71" s="29">
        <f t="shared" si="14"/>
        <v>0</v>
      </c>
      <c r="G71" s="1"/>
      <c r="H71" s="29">
        <f>TRUNC(H72+H73,0)</f>
        <v>0</v>
      </c>
      <c r="I71" s="1"/>
      <c r="J71" s="29">
        <f>TRUNC(J72+J73,0)</f>
        <v>0</v>
      </c>
      <c r="K71" s="1"/>
      <c r="L71" s="29">
        <f>TRUNC(L72+L73,0)</f>
        <v>0</v>
      </c>
      <c r="M71" s="20" t="s">
        <v>1297</v>
      </c>
      <c r="P71" t="s">
        <v>166</v>
      </c>
    </row>
    <row r="72" spans="1:61" ht="18" customHeight="1">
      <c r="A72" s="11" t="s">
        <v>563</v>
      </c>
      <c r="B72" s="2" t="s">
        <v>260</v>
      </c>
      <c r="C72" s="2">
        <v>2</v>
      </c>
      <c r="D72" s="2" t="s">
        <v>426</v>
      </c>
      <c r="E72" s="29">
        <f t="shared" si="15"/>
        <v>0</v>
      </c>
      <c r="F72" s="29">
        <f t="shared" si="14"/>
        <v>0</v>
      </c>
      <c r="G72" s="29">
        <f>자재조서!E29</f>
        <v>0</v>
      </c>
      <c r="H72" s="29">
        <f>TRUNC(G72*C72,0)</f>
        <v>0</v>
      </c>
      <c r="I72" s="29">
        <v>0</v>
      </c>
      <c r="J72" s="29"/>
      <c r="K72" s="29">
        <v>0</v>
      </c>
      <c r="L72" s="29"/>
      <c r="M72" s="20" t="s">
        <v>822</v>
      </c>
      <c r="P72" t="s">
        <v>1113</v>
      </c>
      <c r="R72" t="s">
        <v>822</v>
      </c>
      <c r="BI72" s="52" t="str">
        <f>HYPERLINK("#자재조서!A29","MZZ9700 →")</f>
        <v>MZZ9700 →</v>
      </c>
    </row>
    <row r="73" spans="1:61" ht="18" customHeight="1">
      <c r="A73" s="11" t="s">
        <v>568</v>
      </c>
      <c r="B73" s="2" t="s">
        <v>983</v>
      </c>
      <c r="C73" s="2">
        <v>4</v>
      </c>
      <c r="D73" s="2" t="s">
        <v>426</v>
      </c>
      <c r="E73" s="29">
        <f t="shared" si="15"/>
        <v>0</v>
      </c>
      <c r="F73" s="29">
        <f t="shared" si="14"/>
        <v>0</v>
      </c>
      <c r="G73" s="29">
        <f>자재조서!E30</f>
        <v>0</v>
      </c>
      <c r="H73" s="29">
        <f>TRUNC(G73*C73,0)</f>
        <v>0</v>
      </c>
      <c r="I73" s="29">
        <v>0</v>
      </c>
      <c r="J73" s="29"/>
      <c r="K73" s="29">
        <v>0</v>
      </c>
      <c r="L73" s="29"/>
      <c r="M73" s="20" t="s">
        <v>1156</v>
      </c>
      <c r="P73" t="s">
        <v>784</v>
      </c>
      <c r="R73" t="s">
        <v>1156</v>
      </c>
      <c r="BI73" s="52" t="str">
        <f>HYPERLINK("#자재조서!A30","MZZ9710 →")</f>
        <v>MZZ9710 →</v>
      </c>
    </row>
    <row r="74" spans="1:61" ht="18" customHeight="1">
      <c r="A74" s="11" t="s">
        <v>998</v>
      </c>
      <c r="B74" s="2" t="s">
        <v>1213</v>
      </c>
      <c r="C74" s="2">
        <v>9</v>
      </c>
      <c r="D74" s="2" t="s">
        <v>1010</v>
      </c>
      <c r="E74" s="29">
        <f t="shared" si="15"/>
        <v>0</v>
      </c>
      <c r="F74" s="29">
        <f t="shared" si="14"/>
        <v>0</v>
      </c>
      <c r="G74" s="29">
        <f>자재조서!E31</f>
        <v>0</v>
      </c>
      <c r="H74" s="29">
        <f>TRUNC(G74*C74,0)</f>
        <v>0</v>
      </c>
      <c r="I74" s="29">
        <v>0</v>
      </c>
      <c r="J74" s="29"/>
      <c r="K74" s="29">
        <v>0</v>
      </c>
      <c r="L74" s="29"/>
      <c r="M74" s="20" t="s">
        <v>1172</v>
      </c>
      <c r="P74" t="s">
        <v>450</v>
      </c>
      <c r="R74" t="s">
        <v>1172</v>
      </c>
      <c r="BI74" s="52" t="str">
        <f>HYPERLINK("#자재조서!A31","MZZ9750 →")</f>
        <v>MZZ9750 →</v>
      </c>
    </row>
    <row r="75" spans="1:18" ht="18" customHeight="1">
      <c r="A75" s="11" t="s">
        <v>898</v>
      </c>
      <c r="B75" s="2" t="s">
        <v>1297</v>
      </c>
      <c r="C75" s="2"/>
      <c r="D75" s="2" t="s">
        <v>1297</v>
      </c>
      <c r="E75" s="29">
        <f t="shared" si="15"/>
        <v>0</v>
      </c>
      <c r="F75" s="29">
        <f t="shared" si="14"/>
        <v>0</v>
      </c>
      <c r="G75" s="1"/>
      <c r="H75" s="29">
        <f>TRUNC(H76+H77+H78,0)</f>
        <v>0</v>
      </c>
      <c r="I75" s="1"/>
      <c r="J75" s="29">
        <f>TRUNC(J76+J77+J78,0)</f>
        <v>0</v>
      </c>
      <c r="K75" s="1"/>
      <c r="L75" s="29">
        <f>TRUNC(L76+L77+L78,0)</f>
        <v>0</v>
      </c>
      <c r="M75" s="20" t="s">
        <v>1297</v>
      </c>
      <c r="P75" t="s">
        <v>139</v>
      </c>
    </row>
    <row r="76" spans="1:61" ht="18" customHeight="1">
      <c r="A76" s="11" t="s">
        <v>512</v>
      </c>
      <c r="B76" s="2" t="s">
        <v>605</v>
      </c>
      <c r="C76" s="2">
        <v>18</v>
      </c>
      <c r="D76" s="2" t="s">
        <v>230</v>
      </c>
      <c r="E76" s="29">
        <f t="shared" si="15"/>
        <v>0</v>
      </c>
      <c r="F76" s="29">
        <f t="shared" si="14"/>
        <v>0</v>
      </c>
      <c r="G76" s="29">
        <f>자재조서!E26</f>
        <v>0</v>
      </c>
      <c r="H76" s="29">
        <f>TRUNC(G76*C76,0)</f>
        <v>0</v>
      </c>
      <c r="I76" s="29">
        <v>0</v>
      </c>
      <c r="J76" s="29"/>
      <c r="K76" s="29">
        <v>0</v>
      </c>
      <c r="L76" s="29"/>
      <c r="M76" s="20" t="s">
        <v>662</v>
      </c>
      <c r="P76" t="s">
        <v>1095</v>
      </c>
      <c r="R76" t="s">
        <v>662</v>
      </c>
      <c r="BI76" s="52" t="str">
        <f>HYPERLINK("#자재조서!A26","MZAKP00310 →")</f>
        <v>MZAKP00310 →</v>
      </c>
    </row>
    <row r="77" spans="1:61" ht="18" customHeight="1">
      <c r="A77" s="11" t="s">
        <v>1176</v>
      </c>
      <c r="B77" s="2" t="s">
        <v>241</v>
      </c>
      <c r="C77" s="2">
        <v>811</v>
      </c>
      <c r="D77" s="2" t="s">
        <v>753</v>
      </c>
      <c r="E77" s="29">
        <f t="shared" si="15"/>
        <v>0</v>
      </c>
      <c r="F77" s="29">
        <f t="shared" si="14"/>
        <v>0</v>
      </c>
      <c r="G77" s="29">
        <f>자재조서!E25</f>
        <v>0</v>
      </c>
      <c r="H77" s="29">
        <f>TRUNC(G77*C77,0)</f>
        <v>0</v>
      </c>
      <c r="I77" s="29">
        <v>0</v>
      </c>
      <c r="J77" s="29"/>
      <c r="K77" s="29">
        <v>0</v>
      </c>
      <c r="L77" s="29"/>
      <c r="M77" s="20" t="s">
        <v>1123</v>
      </c>
      <c r="P77" t="s">
        <v>763</v>
      </c>
      <c r="R77" t="s">
        <v>1123</v>
      </c>
      <c r="BI77" s="52" t="str">
        <f>HYPERLINK("#자재조서!A25","MZAKP00304 →")</f>
        <v>MZAKP00304 →</v>
      </c>
    </row>
    <row r="78" spans="1:61" ht="18" customHeight="1">
      <c r="A78" s="11" t="s">
        <v>81</v>
      </c>
      <c r="B78" s="2" t="s">
        <v>560</v>
      </c>
      <c r="C78" s="2">
        <v>22</v>
      </c>
      <c r="D78" s="2" t="s">
        <v>230</v>
      </c>
      <c r="E78" s="29">
        <f t="shared" si="15"/>
        <v>0</v>
      </c>
      <c r="F78" s="29">
        <f t="shared" si="14"/>
        <v>0</v>
      </c>
      <c r="G78" s="29">
        <f>자재조서!E28</f>
        <v>0</v>
      </c>
      <c r="H78" s="29">
        <f>TRUNC(G78*C78,0)</f>
        <v>0</v>
      </c>
      <c r="I78" s="29">
        <v>0</v>
      </c>
      <c r="J78" s="29"/>
      <c r="K78" s="29">
        <v>0</v>
      </c>
      <c r="L78" s="29"/>
      <c r="M78" s="20" t="s">
        <v>211</v>
      </c>
      <c r="P78" t="s">
        <v>432</v>
      </c>
      <c r="R78" t="s">
        <v>211</v>
      </c>
      <c r="BI78" s="52" t="str">
        <f>HYPERLINK("#자재조서!A28","MZZ9000 →")</f>
        <v>MZZ9000 →</v>
      </c>
    </row>
    <row r="79" spans="1:18" ht="18" customHeight="1">
      <c r="A79" s="11" t="s">
        <v>279</v>
      </c>
      <c r="B79" s="2" t="s">
        <v>1297</v>
      </c>
      <c r="C79" s="2"/>
      <c r="D79" s="2" t="s">
        <v>1297</v>
      </c>
      <c r="E79" s="29">
        <f t="shared" si="15"/>
        <v>0</v>
      </c>
      <c r="F79" s="29">
        <f t="shared" si="14"/>
        <v>0</v>
      </c>
      <c r="G79" s="1"/>
      <c r="H79" s="29">
        <f>TRUNC(H80+H81,0)</f>
        <v>0</v>
      </c>
      <c r="I79" s="1"/>
      <c r="J79" s="29">
        <f>TRUNC(J80+J81,0)</f>
        <v>0</v>
      </c>
      <c r="K79" s="1"/>
      <c r="L79" s="29">
        <f>TRUNC(L80+L81,0)</f>
        <v>0</v>
      </c>
      <c r="M79" s="20" t="s">
        <v>1297</v>
      </c>
      <c r="P79" t="s">
        <v>112</v>
      </c>
    </row>
    <row r="80" spans="1:61" ht="18" customHeight="1">
      <c r="A80" s="11" t="s">
        <v>627</v>
      </c>
      <c r="B80" s="2" t="s">
        <v>241</v>
      </c>
      <c r="C80" s="2">
        <v>1</v>
      </c>
      <c r="D80" s="2" t="s">
        <v>230</v>
      </c>
      <c r="E80" s="29">
        <f t="shared" si="15"/>
        <v>0</v>
      </c>
      <c r="F80" s="29">
        <f t="shared" si="14"/>
        <v>0</v>
      </c>
      <c r="G80" s="29">
        <f>자재조서!E23</f>
        <v>0</v>
      </c>
      <c r="H80" s="29">
        <f>TRUNC(G80*C80,0)</f>
        <v>0</v>
      </c>
      <c r="I80" s="29">
        <v>0</v>
      </c>
      <c r="J80" s="29"/>
      <c r="K80" s="29">
        <v>0</v>
      </c>
      <c r="L80" s="29"/>
      <c r="M80" s="20" t="s">
        <v>555</v>
      </c>
      <c r="P80" t="s">
        <v>106</v>
      </c>
      <c r="R80" t="s">
        <v>555</v>
      </c>
      <c r="BI80" s="52" t="str">
        <f>HYPERLINK("#자재조서!A23","MZA60590 →")</f>
        <v>MZA60590 →</v>
      </c>
    </row>
    <row r="81" spans="1:61" ht="18" customHeight="1">
      <c r="A81" s="11" t="s">
        <v>1265</v>
      </c>
      <c r="B81" s="2" t="s">
        <v>241</v>
      </c>
      <c r="C81" s="2">
        <v>4</v>
      </c>
      <c r="D81" s="2" t="s">
        <v>230</v>
      </c>
      <c r="E81" s="29">
        <f t="shared" si="15"/>
        <v>0</v>
      </c>
      <c r="F81" s="29">
        <f t="shared" si="14"/>
        <v>0</v>
      </c>
      <c r="G81" s="29">
        <f>자재조서!E24</f>
        <v>0</v>
      </c>
      <c r="H81" s="29">
        <f>TRUNC(G81*C81,0)</f>
        <v>0</v>
      </c>
      <c r="I81" s="29">
        <v>0</v>
      </c>
      <c r="J81" s="29"/>
      <c r="K81" s="29">
        <v>0</v>
      </c>
      <c r="L81" s="29"/>
      <c r="M81" s="20" t="s">
        <v>475</v>
      </c>
      <c r="P81" t="s">
        <v>412</v>
      </c>
      <c r="R81" t="s">
        <v>475</v>
      </c>
      <c r="BI81" s="52" t="str">
        <f>HYPERLINK("#자재조서!A24","MZA60600 →")</f>
        <v>MZA60600 →</v>
      </c>
    </row>
    <row r="82" spans="1:61" ht="18" customHeight="1">
      <c r="A82" s="11" t="s">
        <v>1252</v>
      </c>
      <c r="B82" s="2" t="s">
        <v>427</v>
      </c>
      <c r="C82" s="2">
        <v>4</v>
      </c>
      <c r="D82" s="2" t="s">
        <v>700</v>
      </c>
      <c r="E82" s="29">
        <f t="shared" si="15"/>
        <v>0</v>
      </c>
      <c r="F82" s="29">
        <f t="shared" si="14"/>
        <v>0</v>
      </c>
      <c r="G82" s="29">
        <f>자재조서!E12</f>
        <v>0</v>
      </c>
      <c r="H82" s="29">
        <f>TRUNC(G82*C82,0)</f>
        <v>0</v>
      </c>
      <c r="I82" s="29">
        <v>0</v>
      </c>
      <c r="J82" s="29"/>
      <c r="K82" s="29">
        <v>0</v>
      </c>
      <c r="L82" s="29"/>
      <c r="M82" s="20" t="s">
        <v>1169</v>
      </c>
      <c r="P82" t="s">
        <v>755</v>
      </c>
      <c r="R82" t="s">
        <v>1169</v>
      </c>
      <c r="BI82" s="52" t="str">
        <f>HYPERLINK("#자재조서!A12","M1003000 →")</f>
        <v>M1003000 →</v>
      </c>
    </row>
    <row r="83" spans="1:18" ht="18" customHeight="1">
      <c r="A83" s="11" t="s">
        <v>903</v>
      </c>
      <c r="B83" s="2" t="s">
        <v>1297</v>
      </c>
      <c r="C83" s="2"/>
      <c r="D83" s="2" t="s">
        <v>1297</v>
      </c>
      <c r="E83" s="29">
        <f t="shared" si="15"/>
        <v>0</v>
      </c>
      <c r="F83" s="29">
        <f t="shared" si="14"/>
        <v>0</v>
      </c>
      <c r="G83" s="1"/>
      <c r="H83" s="29">
        <f>TRUNC(H84+H85+H86,0)</f>
        <v>0</v>
      </c>
      <c r="I83" s="1"/>
      <c r="J83" s="29">
        <f>TRUNC(J84+J85+J86,0)</f>
        <v>0</v>
      </c>
      <c r="K83" s="1"/>
      <c r="L83" s="29">
        <f>TRUNC(L84+L85+L86,0)</f>
        <v>0</v>
      </c>
      <c r="M83" s="20" t="s">
        <v>1297</v>
      </c>
      <c r="P83" t="s">
        <v>1075</v>
      </c>
    </row>
    <row r="84" spans="1:61" ht="18" customHeight="1">
      <c r="A84" s="11" t="s">
        <v>422</v>
      </c>
      <c r="B84" s="2" t="s">
        <v>1297</v>
      </c>
      <c r="C84" s="2">
        <v>3</v>
      </c>
      <c r="D84" s="2" t="s">
        <v>927</v>
      </c>
      <c r="E84" s="29">
        <f t="shared" si="15"/>
        <v>0</v>
      </c>
      <c r="F84" s="29">
        <f t="shared" si="14"/>
        <v>0</v>
      </c>
      <c r="G84" s="29">
        <f>자재조서!E19</f>
        <v>0</v>
      </c>
      <c r="H84" s="29">
        <f>TRUNC(G84*C84,0)</f>
        <v>0</v>
      </c>
      <c r="I84" s="29">
        <v>0</v>
      </c>
      <c r="J84" s="29"/>
      <c r="K84" s="29">
        <v>0</v>
      </c>
      <c r="L84" s="29"/>
      <c r="M84" s="20" t="s">
        <v>508</v>
      </c>
      <c r="P84" t="s">
        <v>88</v>
      </c>
      <c r="R84" t="s">
        <v>508</v>
      </c>
      <c r="BI84" s="52" t="str">
        <f>HYPERLINK("#자재조서!A19","MZA51000 →")</f>
        <v>MZA51000 →</v>
      </c>
    </row>
    <row r="85" spans="1:61" ht="18" customHeight="1">
      <c r="A85" s="11" t="s">
        <v>768</v>
      </c>
      <c r="B85" s="2" t="s">
        <v>609</v>
      </c>
      <c r="C85" s="2">
        <v>1</v>
      </c>
      <c r="D85" s="2" t="s">
        <v>927</v>
      </c>
      <c r="E85" s="29">
        <f t="shared" si="15"/>
        <v>0</v>
      </c>
      <c r="F85" s="29">
        <f t="shared" si="14"/>
        <v>0</v>
      </c>
      <c r="G85" s="29">
        <f>자재조서!E20</f>
        <v>0</v>
      </c>
      <c r="H85" s="29">
        <f>TRUNC(G85*C85,0)</f>
        <v>0</v>
      </c>
      <c r="I85" s="29">
        <v>0</v>
      </c>
      <c r="J85" s="29"/>
      <c r="K85" s="29">
        <v>0</v>
      </c>
      <c r="L85" s="29"/>
      <c r="M85" s="20" t="s">
        <v>208</v>
      </c>
      <c r="P85" t="s">
        <v>397</v>
      </c>
      <c r="R85" t="s">
        <v>208</v>
      </c>
      <c r="BI85" s="52" t="str">
        <f>HYPERLINK("#자재조서!A20","MZA51010 →")</f>
        <v>MZA51010 →</v>
      </c>
    </row>
    <row r="86" spans="1:61" ht="18" customHeight="1">
      <c r="A86" s="11" t="s">
        <v>1091</v>
      </c>
      <c r="B86" s="2" t="s">
        <v>1121</v>
      </c>
      <c r="C86" s="2">
        <v>6</v>
      </c>
      <c r="D86" s="2" t="s">
        <v>927</v>
      </c>
      <c r="E86" s="29">
        <f t="shared" si="15"/>
        <v>0</v>
      </c>
      <c r="F86" s="29">
        <f t="shared" si="14"/>
        <v>0</v>
      </c>
      <c r="G86" s="29">
        <f>자재조서!E18</f>
        <v>0</v>
      </c>
      <c r="H86" s="29">
        <f>TRUNC(G86*C86,0)</f>
        <v>0</v>
      </c>
      <c r="I86" s="29">
        <v>0</v>
      </c>
      <c r="J86" s="29"/>
      <c r="K86" s="29">
        <v>0</v>
      </c>
      <c r="L86" s="29"/>
      <c r="M86" s="20" t="s">
        <v>17</v>
      </c>
      <c r="P86" t="s">
        <v>728</v>
      </c>
      <c r="R86" t="s">
        <v>17</v>
      </c>
      <c r="BI86" s="52" t="str">
        <f>HYPERLINK("#자재조서!A18","MZA50000 →")</f>
        <v>MZA50000 →</v>
      </c>
    </row>
    <row r="87" spans="1:18" ht="18" customHeight="1">
      <c r="A87" s="11" t="s">
        <v>504</v>
      </c>
      <c r="B87" s="2" t="s">
        <v>1297</v>
      </c>
      <c r="C87" s="2"/>
      <c r="D87" s="2" t="s">
        <v>1297</v>
      </c>
      <c r="E87" s="29">
        <f t="shared" si="15"/>
        <v>0</v>
      </c>
      <c r="F87" s="29">
        <f t="shared" si="14"/>
        <v>0</v>
      </c>
      <c r="G87" s="1"/>
      <c r="H87" s="29">
        <v>0</v>
      </c>
      <c r="I87" s="1"/>
      <c r="J87" s="29">
        <v>0</v>
      </c>
      <c r="K87" s="1"/>
      <c r="L87" s="29">
        <v>0</v>
      </c>
      <c r="M87" s="20" t="s">
        <v>1297</v>
      </c>
      <c r="P87" t="s">
        <v>1044</v>
      </c>
      <c r="Q87" t="s">
        <v>299</v>
      </c>
    </row>
    <row r="88" spans="1:15" ht="18" customHeight="1">
      <c r="A88" s="11" t="s">
        <v>223</v>
      </c>
      <c r="B88" s="2" t="s">
        <v>1297</v>
      </c>
      <c r="C88" s="2">
        <v>0</v>
      </c>
      <c r="D88" s="2" t="s">
        <v>1025</v>
      </c>
      <c r="E88" s="1"/>
      <c r="F88" s="29">
        <f t="shared" si="14"/>
        <v>0</v>
      </c>
      <c r="G88" s="1"/>
      <c r="H88" s="29">
        <f>TRUNC(H89+H90,0)</f>
        <v>0</v>
      </c>
      <c r="I88" s="1"/>
      <c r="J88" s="29">
        <f>TRUNC(J89+J90,0)</f>
        <v>0</v>
      </c>
      <c r="K88" s="1"/>
      <c r="L88" s="29">
        <f>TRUNC(L89+L90,0)</f>
        <v>0</v>
      </c>
      <c r="M88" s="20" t="s">
        <v>1297</v>
      </c>
      <c r="O88" t="s">
        <v>20</v>
      </c>
    </row>
    <row r="89" spans="1:61" ht="18" customHeight="1">
      <c r="A89" s="11" t="s">
        <v>396</v>
      </c>
      <c r="B89" s="2" t="s">
        <v>694</v>
      </c>
      <c r="C89" s="2">
        <v>4</v>
      </c>
      <c r="D89" s="2" t="s">
        <v>1105</v>
      </c>
      <c r="E89" s="29">
        <f>G89+I89+K89</f>
        <v>0</v>
      </c>
      <c r="F89" s="29">
        <f t="shared" si="14"/>
        <v>0</v>
      </c>
      <c r="G89" s="29">
        <f>경비!D6</f>
        <v>0</v>
      </c>
      <c r="H89" s="29">
        <f>TRUNC(G89*C89,0)</f>
        <v>0</v>
      </c>
      <c r="I89" s="29">
        <f>경비!E6</f>
        <v>0</v>
      </c>
      <c r="J89" s="29">
        <f>TRUNC(I89*C89,0)</f>
        <v>0</v>
      </c>
      <c r="K89" s="29">
        <f>경비!F6</f>
        <v>0</v>
      </c>
      <c r="L89" s="29">
        <f>TRUNC(K89*C89,0)</f>
        <v>0</v>
      </c>
      <c r="M89" s="20" t="s">
        <v>206</v>
      </c>
      <c r="P89" t="s">
        <v>166</v>
      </c>
      <c r="R89" t="s">
        <v>206</v>
      </c>
      <c r="BI89" s="52" t="str">
        <f>HYPERLINK("#경비!A6","G00050 →")</f>
        <v>G00050 →</v>
      </c>
    </row>
    <row r="90" spans="1:61" ht="18" customHeight="1">
      <c r="A90" s="11" t="s">
        <v>390</v>
      </c>
      <c r="B90" s="2" t="s">
        <v>694</v>
      </c>
      <c r="C90" s="2">
        <v>4</v>
      </c>
      <c r="D90" s="2" t="s">
        <v>1105</v>
      </c>
      <c r="E90" s="29">
        <f>G90+I90+K90</f>
        <v>0</v>
      </c>
      <c r="F90" s="29">
        <f t="shared" si="14"/>
        <v>0</v>
      </c>
      <c r="G90" s="29">
        <f>경비!D7</f>
        <v>0</v>
      </c>
      <c r="H90" s="29">
        <f>TRUNC(G90*C90,0)</f>
        <v>0</v>
      </c>
      <c r="I90" s="29">
        <f>경비!E7</f>
        <v>0</v>
      </c>
      <c r="J90" s="29">
        <f>TRUNC(I90*C90,0)</f>
        <v>0</v>
      </c>
      <c r="K90" s="29">
        <f>경비!F7</f>
        <v>0</v>
      </c>
      <c r="L90" s="29">
        <f>TRUNC(K90*C90,0)</f>
        <v>0</v>
      </c>
      <c r="M90" s="20" t="s">
        <v>302</v>
      </c>
      <c r="P90" t="s">
        <v>1113</v>
      </c>
      <c r="R90" t="s">
        <v>302</v>
      </c>
      <c r="BI90" s="52" t="str">
        <f>HYPERLINK("#경비!A7","G00054 →")</f>
        <v>G00054 →</v>
      </c>
    </row>
    <row r="91" spans="1:18" ht="18" customHeight="1">
      <c r="A91" s="11" t="s">
        <v>504</v>
      </c>
      <c r="B91" s="2" t="s">
        <v>1297</v>
      </c>
      <c r="C91" s="2"/>
      <c r="D91" s="2" t="s">
        <v>1297</v>
      </c>
      <c r="E91" s="29">
        <f>G91+I91+K91</f>
        <v>0</v>
      </c>
      <c r="F91" s="29">
        <f t="shared" si="14"/>
        <v>0</v>
      </c>
      <c r="G91" s="1"/>
      <c r="H91" s="29">
        <v>0</v>
      </c>
      <c r="I91" s="1"/>
      <c r="J91" s="29">
        <v>0</v>
      </c>
      <c r="K91" s="1"/>
      <c r="L91" s="29">
        <v>0</v>
      </c>
      <c r="M91" s="20" t="s">
        <v>1297</v>
      </c>
      <c r="P91" t="s">
        <v>784</v>
      </c>
      <c r="Q91" t="s">
        <v>299</v>
      </c>
    </row>
    <row r="92" spans="1:13" ht="18" customHeight="1">
      <c r="A92" s="54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7"/>
    </row>
  </sheetData>
  <sheetProtection/>
  <mergeCells count="9">
    <mergeCell ref="K2:L2"/>
    <mergeCell ref="E2:F2"/>
    <mergeCell ref="M2:M3"/>
    <mergeCell ref="A2:A3"/>
    <mergeCell ref="B2:B3"/>
    <mergeCell ref="C2:C3"/>
    <mergeCell ref="D2:D3"/>
    <mergeCell ref="G2:H2"/>
    <mergeCell ref="I2:J2"/>
  </mergeCells>
  <printOptions/>
  <pageMargins left="0.31496062992125984" right="0.31496062992125984" top="1" bottom="0.5905511811023622" header="0.5" footer="0.5"/>
  <pageSetup horizontalDpi="600" verticalDpi="600" orientation="landscape" paperSize="9" r:id="rId1"/>
  <headerFooter alignWithMargins="0">
    <oddHeader>&amp;RPage : &amp;P/&amp;N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L24" sqref="L24"/>
    </sheetView>
  </sheetViews>
  <sheetFormatPr defaultColWidth="9.33203125" defaultRowHeight="18" customHeight="1"/>
  <cols>
    <col min="1" max="1" width="30" style="0" customWidth="1"/>
    <col min="2" max="2" width="25" style="0" customWidth="1"/>
    <col min="3" max="3" width="5" style="0" customWidth="1"/>
    <col min="4" max="6" width="11" style="0" customWidth="1"/>
    <col min="7" max="7" width="12" style="0" customWidth="1"/>
    <col min="8" max="8" width="15" style="0" customWidth="1"/>
    <col min="9" max="10" width="0" style="0" hidden="1" customWidth="1"/>
  </cols>
  <sheetData>
    <row r="1" ht="18" customHeight="1">
      <c r="A1" t="s">
        <v>222</v>
      </c>
    </row>
    <row r="2" spans="1:8" ht="18" customHeight="1">
      <c r="A2" s="16" t="s">
        <v>902</v>
      </c>
      <c r="B2" s="17" t="s">
        <v>473</v>
      </c>
      <c r="C2" s="17" t="s">
        <v>1219</v>
      </c>
      <c r="D2" s="17" t="s">
        <v>884</v>
      </c>
      <c r="E2" s="17" t="s">
        <v>506</v>
      </c>
      <c r="F2" s="17" t="s">
        <v>93</v>
      </c>
      <c r="G2" s="17" t="s">
        <v>1261</v>
      </c>
      <c r="H2" s="19" t="s">
        <v>321</v>
      </c>
    </row>
    <row r="3" spans="1:10" ht="18" customHeight="1">
      <c r="A3" s="11" t="s">
        <v>155</v>
      </c>
      <c r="B3" s="2" t="s">
        <v>1190</v>
      </c>
      <c r="C3" s="2" t="s">
        <v>935</v>
      </c>
      <c r="D3" s="25">
        <v>0</v>
      </c>
      <c r="E3" s="25">
        <v>0</v>
      </c>
      <c r="F3" s="25"/>
      <c r="G3" s="25">
        <f aca="true" t="shared" si="0" ref="G3:G10">D3+E3+F3</f>
        <v>0</v>
      </c>
      <c r="H3" s="20" t="s">
        <v>1297</v>
      </c>
      <c r="J3" t="s">
        <v>1151</v>
      </c>
    </row>
    <row r="4" spans="1:10" ht="18" customHeight="1">
      <c r="A4" s="11" t="s">
        <v>1257</v>
      </c>
      <c r="B4" s="2" t="s">
        <v>1190</v>
      </c>
      <c r="C4" s="2" t="s">
        <v>935</v>
      </c>
      <c r="D4" s="25">
        <v>0</v>
      </c>
      <c r="E4" s="25">
        <v>0</v>
      </c>
      <c r="F4" s="25"/>
      <c r="G4" s="25">
        <f t="shared" si="0"/>
        <v>0</v>
      </c>
      <c r="H4" s="20" t="s">
        <v>1297</v>
      </c>
      <c r="J4" t="s">
        <v>827</v>
      </c>
    </row>
    <row r="5" spans="1:10" ht="18" customHeight="1">
      <c r="A5" s="11" t="s">
        <v>1150</v>
      </c>
      <c r="B5" s="2" t="s">
        <v>1190</v>
      </c>
      <c r="C5" s="2" t="s">
        <v>935</v>
      </c>
      <c r="D5" s="25">
        <v>0</v>
      </c>
      <c r="E5" s="25">
        <v>0</v>
      </c>
      <c r="F5" s="25"/>
      <c r="G5" s="25">
        <f t="shared" si="0"/>
        <v>0</v>
      </c>
      <c r="H5" s="20" t="s">
        <v>1297</v>
      </c>
      <c r="J5" t="s">
        <v>485</v>
      </c>
    </row>
    <row r="6" spans="1:10" ht="18" customHeight="1">
      <c r="A6" s="11" t="s">
        <v>734</v>
      </c>
      <c r="B6" s="2" t="s">
        <v>683</v>
      </c>
      <c r="C6" s="2" t="s">
        <v>814</v>
      </c>
      <c r="D6" s="25">
        <v>0</v>
      </c>
      <c r="E6" s="25">
        <v>0</v>
      </c>
      <c r="F6" s="25"/>
      <c r="G6" s="25">
        <f t="shared" si="0"/>
        <v>0</v>
      </c>
      <c r="H6" s="20" t="s">
        <v>1297</v>
      </c>
      <c r="J6" t="s">
        <v>206</v>
      </c>
    </row>
    <row r="7" spans="1:10" ht="18" customHeight="1">
      <c r="A7" s="11" t="s">
        <v>445</v>
      </c>
      <c r="B7" s="2" t="s">
        <v>685</v>
      </c>
      <c r="C7" s="2" t="s">
        <v>814</v>
      </c>
      <c r="D7" s="25">
        <v>0</v>
      </c>
      <c r="E7" s="25">
        <v>0</v>
      </c>
      <c r="F7" s="25"/>
      <c r="G7" s="25">
        <f t="shared" si="0"/>
        <v>0</v>
      </c>
      <c r="H7" s="20" t="s">
        <v>1297</v>
      </c>
      <c r="J7" t="s">
        <v>302</v>
      </c>
    </row>
    <row r="8" spans="1:10" ht="18" customHeight="1">
      <c r="A8" s="11" t="s">
        <v>167</v>
      </c>
      <c r="B8" s="2" t="s">
        <v>5</v>
      </c>
      <c r="C8" s="2" t="s">
        <v>320</v>
      </c>
      <c r="D8" s="25">
        <v>0</v>
      </c>
      <c r="E8" s="25">
        <v>0</v>
      </c>
      <c r="F8" s="25"/>
      <c r="G8" s="25">
        <f t="shared" si="0"/>
        <v>0</v>
      </c>
      <c r="H8" s="20" t="s">
        <v>1297</v>
      </c>
      <c r="J8" t="s">
        <v>1165</v>
      </c>
    </row>
    <row r="9" spans="1:10" ht="18" customHeight="1">
      <c r="A9" s="11" t="s">
        <v>710</v>
      </c>
      <c r="B9" s="2" t="s">
        <v>881</v>
      </c>
      <c r="C9" s="2" t="s">
        <v>1294</v>
      </c>
      <c r="D9" s="25">
        <v>0</v>
      </c>
      <c r="E9" s="25">
        <v>0</v>
      </c>
      <c r="F9" s="25"/>
      <c r="G9" s="25">
        <f t="shared" si="0"/>
        <v>0</v>
      </c>
      <c r="H9" s="20" t="s">
        <v>1297</v>
      </c>
      <c r="J9" t="s">
        <v>1089</v>
      </c>
    </row>
    <row r="10" spans="1:10" ht="18" customHeight="1">
      <c r="A10" s="13" t="s">
        <v>125</v>
      </c>
      <c r="B10" s="14" t="s">
        <v>55</v>
      </c>
      <c r="C10" s="14" t="s">
        <v>1294</v>
      </c>
      <c r="D10" s="26">
        <v>0</v>
      </c>
      <c r="E10" s="26">
        <v>0</v>
      </c>
      <c r="F10" s="26"/>
      <c r="G10" s="26">
        <f t="shared" si="0"/>
        <v>0</v>
      </c>
      <c r="H10" s="21" t="s">
        <v>1297</v>
      </c>
      <c r="J10" t="s">
        <v>1189</v>
      </c>
    </row>
  </sheetData>
  <sheetProtection/>
  <printOptions/>
  <pageMargins left="0.31496062992125984" right="0.31496062992125984" top="1" bottom="0.5905511811023622" header="0.5" footer="0.5"/>
  <pageSetup horizontalDpi="600" verticalDpi="600" orientation="portrait" paperSize="9"/>
  <headerFooter alignWithMargins="0">
    <oddHeader>&amp;RPage : &amp;P/&amp;N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1">
      <selection activeCell="E4" sqref="E4:E31"/>
    </sheetView>
  </sheetViews>
  <sheetFormatPr defaultColWidth="9.33203125" defaultRowHeight="18" customHeight="1"/>
  <cols>
    <col min="1" max="1" width="17" style="0" customWidth="1"/>
    <col min="2" max="2" width="23" style="0" customWidth="1"/>
    <col min="3" max="3" width="19" style="0" customWidth="1"/>
    <col min="4" max="4" width="5" style="0" customWidth="1"/>
    <col min="5" max="5" width="16" style="0" customWidth="1"/>
    <col min="6" max="6" width="15" style="0" customWidth="1"/>
    <col min="7" max="7" width="8" style="0" customWidth="1"/>
    <col min="8" max="8" width="15" style="0" customWidth="1"/>
    <col min="9" max="9" width="8" style="0" customWidth="1"/>
    <col min="10" max="10" width="15" style="0" customWidth="1"/>
    <col min="11" max="11" width="8" style="0" customWidth="1"/>
    <col min="12" max="12" width="15" style="0" customWidth="1"/>
    <col min="13" max="13" width="8" style="0" customWidth="1"/>
    <col min="21" max="24" width="0" style="0" hidden="1" customWidth="1"/>
  </cols>
  <sheetData>
    <row r="1" ht="18" customHeight="1">
      <c r="A1" t="s">
        <v>193</v>
      </c>
    </row>
    <row r="2" spans="1:21" ht="18" customHeight="1">
      <c r="A2" s="61" t="s">
        <v>459</v>
      </c>
      <c r="B2" s="58" t="s">
        <v>902</v>
      </c>
      <c r="C2" s="58" t="s">
        <v>473</v>
      </c>
      <c r="D2" s="58" t="s">
        <v>458</v>
      </c>
      <c r="E2" s="58" t="s">
        <v>1051</v>
      </c>
      <c r="F2" s="58" t="s">
        <v>592</v>
      </c>
      <c r="G2" s="58" t="s">
        <v>1297</v>
      </c>
      <c r="H2" s="58" t="s">
        <v>189</v>
      </c>
      <c r="I2" s="58" t="s">
        <v>1297</v>
      </c>
      <c r="J2" s="58" t="s">
        <v>1249</v>
      </c>
      <c r="K2" s="58" t="s">
        <v>1297</v>
      </c>
      <c r="L2" s="58" t="s">
        <v>777</v>
      </c>
      <c r="M2" s="58" t="s">
        <v>1297</v>
      </c>
      <c r="N2" s="58" t="s">
        <v>639</v>
      </c>
      <c r="O2" s="65" t="s">
        <v>1077</v>
      </c>
      <c r="U2" t="s">
        <v>477</v>
      </c>
    </row>
    <row r="3" spans="1:21" ht="18" customHeight="1">
      <c r="A3" s="62" t="s">
        <v>1297</v>
      </c>
      <c r="B3" s="63" t="s">
        <v>1297</v>
      </c>
      <c r="C3" s="63" t="s">
        <v>1297</v>
      </c>
      <c r="D3" s="63" t="s">
        <v>1297</v>
      </c>
      <c r="E3" s="63" t="s">
        <v>1297</v>
      </c>
      <c r="F3" s="27" t="s">
        <v>675</v>
      </c>
      <c r="G3" s="27" t="s">
        <v>1145</v>
      </c>
      <c r="H3" s="27" t="s">
        <v>675</v>
      </c>
      <c r="I3" s="27" t="s">
        <v>1145</v>
      </c>
      <c r="J3" s="27" t="s">
        <v>675</v>
      </c>
      <c r="K3" s="27" t="s">
        <v>1145</v>
      </c>
      <c r="L3" s="27" t="s">
        <v>675</v>
      </c>
      <c r="M3" s="27" t="s">
        <v>1145</v>
      </c>
      <c r="N3" s="63" t="s">
        <v>1297</v>
      </c>
      <c r="O3" s="66" t="s">
        <v>1297</v>
      </c>
      <c r="U3" t="s">
        <v>352</v>
      </c>
    </row>
    <row r="4" spans="1:24" ht="18" customHeight="1">
      <c r="A4" s="11" t="s">
        <v>1191</v>
      </c>
      <c r="B4" s="2" t="s">
        <v>1186</v>
      </c>
      <c r="C4" s="2" t="s">
        <v>233</v>
      </c>
      <c r="D4" s="2" t="s">
        <v>1282</v>
      </c>
      <c r="E4" s="25"/>
      <c r="F4" s="2"/>
      <c r="G4" s="2"/>
      <c r="H4" s="25"/>
      <c r="I4" s="2"/>
      <c r="J4" s="2"/>
      <c r="K4" s="2"/>
      <c r="L4" s="2"/>
      <c r="M4" s="2"/>
      <c r="N4" s="2" t="s">
        <v>199</v>
      </c>
      <c r="O4" s="12" t="s">
        <v>1029</v>
      </c>
      <c r="U4" t="s">
        <v>352</v>
      </c>
    </row>
    <row r="5" spans="1:24" ht="18" customHeight="1">
      <c r="A5" s="11" t="s">
        <v>1241</v>
      </c>
      <c r="B5" s="2" t="s">
        <v>1276</v>
      </c>
      <c r="C5" s="2" t="s">
        <v>59</v>
      </c>
      <c r="D5" s="2" t="s">
        <v>1263</v>
      </c>
      <c r="E5" s="25"/>
      <c r="F5" s="2"/>
      <c r="G5" s="2"/>
      <c r="H5" s="25"/>
      <c r="I5" s="2"/>
      <c r="J5" s="25"/>
      <c r="K5" s="2"/>
      <c r="L5" s="2"/>
      <c r="M5" s="2"/>
      <c r="N5" s="2" t="s">
        <v>199</v>
      </c>
      <c r="O5" s="12" t="s">
        <v>1029</v>
      </c>
    </row>
    <row r="6" spans="1:24" ht="18" customHeight="1">
      <c r="A6" s="11" t="s">
        <v>684</v>
      </c>
      <c r="B6" s="2" t="s">
        <v>967</v>
      </c>
      <c r="C6" s="2" t="s">
        <v>1144</v>
      </c>
      <c r="D6" s="2" t="s">
        <v>1282</v>
      </c>
      <c r="E6" s="25"/>
      <c r="F6" s="2"/>
      <c r="G6" s="2"/>
      <c r="H6" s="25"/>
      <c r="I6" s="2"/>
      <c r="J6" s="25"/>
      <c r="K6" s="2"/>
      <c r="L6" s="2"/>
      <c r="M6" s="2"/>
      <c r="N6" s="2" t="s">
        <v>199</v>
      </c>
      <c r="O6" s="12" t="s">
        <v>1029</v>
      </c>
    </row>
    <row r="7" spans="1:24" ht="18" customHeight="1">
      <c r="A7" s="11" t="s">
        <v>6</v>
      </c>
      <c r="B7" s="2" t="s">
        <v>681</v>
      </c>
      <c r="C7" s="2" t="s">
        <v>986</v>
      </c>
      <c r="D7" s="2" t="s">
        <v>1026</v>
      </c>
      <c r="E7" s="25"/>
      <c r="F7" s="2"/>
      <c r="G7" s="2"/>
      <c r="H7" s="25"/>
      <c r="I7" s="2"/>
      <c r="J7" s="2"/>
      <c r="K7" s="2"/>
      <c r="L7" s="2"/>
      <c r="M7" s="2"/>
      <c r="N7" s="2" t="s">
        <v>199</v>
      </c>
      <c r="O7" s="12" t="s">
        <v>1029</v>
      </c>
      <c r="W7" t="s">
        <v>282</v>
      </c>
    </row>
    <row r="8" spans="1:24" ht="18" customHeight="1">
      <c r="A8" s="11" t="s">
        <v>709</v>
      </c>
      <c r="B8" s="2" t="s">
        <v>681</v>
      </c>
      <c r="C8" s="2" t="s">
        <v>575</v>
      </c>
      <c r="D8" s="2" t="s">
        <v>1026</v>
      </c>
      <c r="E8" s="25"/>
      <c r="F8" s="2"/>
      <c r="G8" s="2"/>
      <c r="H8" s="25"/>
      <c r="I8" s="2"/>
      <c r="J8" s="2"/>
      <c r="K8" s="2"/>
      <c r="L8" s="2"/>
      <c r="M8" s="2"/>
      <c r="N8" s="2" t="s">
        <v>199</v>
      </c>
      <c r="O8" s="12" t="s">
        <v>1029</v>
      </c>
      <c r="W8" t="s">
        <v>282</v>
      </c>
    </row>
    <row r="9" spans="1:24" ht="18" customHeight="1">
      <c r="A9" s="11" t="s">
        <v>960</v>
      </c>
      <c r="B9" s="2" t="s">
        <v>681</v>
      </c>
      <c r="C9" s="2" t="s">
        <v>448</v>
      </c>
      <c r="D9" s="2" t="s">
        <v>1026</v>
      </c>
      <c r="E9" s="25"/>
      <c r="F9" s="2"/>
      <c r="G9" s="2"/>
      <c r="H9" s="25"/>
      <c r="I9" s="2"/>
      <c r="J9" s="2"/>
      <c r="K9" s="2"/>
      <c r="L9" s="2"/>
      <c r="M9" s="2"/>
      <c r="N9" s="2" t="s">
        <v>199</v>
      </c>
      <c r="O9" s="12" t="s">
        <v>1029</v>
      </c>
      <c r="W9" t="s">
        <v>282</v>
      </c>
    </row>
    <row r="10" spans="1:24" ht="18" customHeight="1">
      <c r="A10" s="11" t="s">
        <v>1058</v>
      </c>
      <c r="B10" s="2" t="s">
        <v>468</v>
      </c>
      <c r="C10" s="2" t="s">
        <v>1234</v>
      </c>
      <c r="D10" s="2" t="s">
        <v>1263</v>
      </c>
      <c r="E10" s="25"/>
      <c r="F10" s="2"/>
      <c r="G10" s="2"/>
      <c r="H10" s="25"/>
      <c r="I10" s="2"/>
      <c r="J10" s="25"/>
      <c r="K10" s="2"/>
      <c r="L10" s="2"/>
      <c r="M10" s="2"/>
      <c r="N10" s="2" t="s">
        <v>199</v>
      </c>
      <c r="O10" s="12" t="s">
        <v>1029</v>
      </c>
      <c r="W10" t="s">
        <v>1058</v>
      </c>
    </row>
    <row r="11" spans="1:24" ht="18" customHeight="1">
      <c r="A11" s="11" t="s">
        <v>192</v>
      </c>
      <c r="B11" s="2" t="s">
        <v>906</v>
      </c>
      <c r="C11" s="2" t="s">
        <v>23</v>
      </c>
      <c r="D11" s="2" t="s">
        <v>1263</v>
      </c>
      <c r="E11" s="25"/>
      <c r="F11" s="2"/>
      <c r="G11" s="2"/>
      <c r="H11" s="25"/>
      <c r="I11" s="2"/>
      <c r="J11" s="25"/>
      <c r="K11" s="2"/>
      <c r="L11" s="2"/>
      <c r="M11" s="2"/>
      <c r="N11" s="2" t="s">
        <v>199</v>
      </c>
      <c r="O11" s="12" t="s">
        <v>1029</v>
      </c>
      <c r="U11" t="s">
        <v>352</v>
      </c>
    </row>
    <row r="12" spans="1:24" ht="18" customHeight="1">
      <c r="A12" s="11" t="s">
        <v>1173</v>
      </c>
      <c r="B12" s="2" t="s">
        <v>556</v>
      </c>
      <c r="C12" s="2" t="s">
        <v>427</v>
      </c>
      <c r="D12" s="2" t="s">
        <v>588</v>
      </c>
      <c r="E12" s="25"/>
      <c r="F12" s="2"/>
      <c r="G12" s="2"/>
      <c r="H12" s="25"/>
      <c r="I12" s="2"/>
      <c r="J12" s="25"/>
      <c r="K12" s="2"/>
      <c r="L12" s="2"/>
      <c r="M12" s="2"/>
      <c r="N12" s="2" t="s">
        <v>199</v>
      </c>
      <c r="O12" s="12" t="s">
        <v>1029</v>
      </c>
      <c r="U12" t="s">
        <v>1244</v>
      </c>
    </row>
    <row r="13" spans="1:24" ht="18" customHeight="1">
      <c r="A13" s="11" t="s">
        <v>995</v>
      </c>
      <c r="B13" s="2" t="s">
        <v>370</v>
      </c>
      <c r="C13" s="2" t="s">
        <v>1096</v>
      </c>
      <c r="D13" s="2" t="s">
        <v>698</v>
      </c>
      <c r="E13" s="25"/>
      <c r="F13" s="2"/>
      <c r="G13" s="2"/>
      <c r="H13" s="25"/>
      <c r="I13" s="2"/>
      <c r="J13" s="25"/>
      <c r="K13" s="2"/>
      <c r="L13" s="2"/>
      <c r="M13" s="2"/>
      <c r="N13" s="2" t="s">
        <v>199</v>
      </c>
      <c r="O13" s="12" t="s">
        <v>1029</v>
      </c>
      <c r="U13" t="s">
        <v>492</v>
      </c>
      <c r="W13" t="s">
        <v>995</v>
      </c>
    </row>
    <row r="14" spans="1:24" ht="18" customHeight="1">
      <c r="A14" s="11" t="s">
        <v>9</v>
      </c>
      <c r="B14" s="2" t="s">
        <v>1101</v>
      </c>
      <c r="C14" s="2" t="s">
        <v>37</v>
      </c>
      <c r="D14" s="2" t="s">
        <v>1282</v>
      </c>
      <c r="E14" s="25"/>
      <c r="F14" s="2"/>
      <c r="G14" s="2"/>
      <c r="H14" s="2"/>
      <c r="I14" s="2"/>
      <c r="J14" s="2"/>
      <c r="K14" s="2"/>
      <c r="L14" s="25"/>
      <c r="M14" s="2"/>
      <c r="N14" s="2" t="s">
        <v>116</v>
      </c>
      <c r="O14" s="12" t="s">
        <v>1137</v>
      </c>
      <c r="U14" t="s">
        <v>990</v>
      </c>
      <c r="V14" t="s">
        <v>245</v>
      </c>
      <c r="W14" t="s">
        <v>702</v>
      </c>
    </row>
    <row r="15" spans="1:24" ht="18" customHeight="1">
      <c r="A15" s="11" t="s">
        <v>152</v>
      </c>
      <c r="B15" s="2" t="s">
        <v>71</v>
      </c>
      <c r="C15" s="2" t="s">
        <v>217</v>
      </c>
      <c r="D15" s="2" t="s">
        <v>917</v>
      </c>
      <c r="E15" s="25"/>
      <c r="F15" s="2"/>
      <c r="G15" s="2"/>
      <c r="H15" s="25"/>
      <c r="I15" s="2"/>
      <c r="J15" s="25"/>
      <c r="K15" s="2"/>
      <c r="L15" s="2"/>
      <c r="M15" s="2"/>
      <c r="N15" s="2" t="s">
        <v>199</v>
      </c>
      <c r="O15" s="12" t="s">
        <v>1029</v>
      </c>
      <c r="U15" t="s">
        <v>405</v>
      </c>
      <c r="W15" t="s">
        <v>152</v>
      </c>
    </row>
    <row r="16" spans="1:24" ht="18" customHeight="1">
      <c r="A16" s="11" t="s">
        <v>871</v>
      </c>
      <c r="B16" s="2" t="s">
        <v>86</v>
      </c>
      <c r="C16" s="2" t="s">
        <v>1100</v>
      </c>
      <c r="D16" s="2" t="s">
        <v>1282</v>
      </c>
      <c r="E16" s="25"/>
      <c r="F16" s="2"/>
      <c r="G16" s="2"/>
      <c r="H16" s="25"/>
      <c r="I16" s="2"/>
      <c r="J16" s="2"/>
      <c r="K16" s="2"/>
      <c r="L16" s="2"/>
      <c r="M16" s="2"/>
      <c r="N16" s="2" t="s">
        <v>199</v>
      </c>
      <c r="O16" s="12" t="s">
        <v>1029</v>
      </c>
      <c r="U16" t="s">
        <v>1192</v>
      </c>
    </row>
    <row r="17" spans="1:24" ht="18" customHeight="1">
      <c r="A17" s="11" t="s">
        <v>121</v>
      </c>
      <c r="B17" s="2" t="s">
        <v>86</v>
      </c>
      <c r="C17" s="2" t="s">
        <v>1262</v>
      </c>
      <c r="D17" s="2" t="s">
        <v>1282</v>
      </c>
      <c r="E17" s="25"/>
      <c r="F17" s="2"/>
      <c r="G17" s="2"/>
      <c r="H17" s="25"/>
      <c r="I17" s="2"/>
      <c r="J17" s="2"/>
      <c r="K17" s="2"/>
      <c r="L17" s="2"/>
      <c r="M17" s="2"/>
      <c r="N17" s="2" t="s">
        <v>199</v>
      </c>
      <c r="O17" s="12" t="s">
        <v>1029</v>
      </c>
    </row>
    <row r="18" spans="1:24" ht="18" customHeight="1">
      <c r="A18" s="11" t="s">
        <v>16</v>
      </c>
      <c r="B18" s="2" t="s">
        <v>1056</v>
      </c>
      <c r="C18" s="2" t="s">
        <v>1124</v>
      </c>
      <c r="D18" s="2" t="s">
        <v>1263</v>
      </c>
      <c r="E18" s="25"/>
      <c r="F18" s="2"/>
      <c r="G18" s="2"/>
      <c r="H18" s="25"/>
      <c r="I18" s="2"/>
      <c r="J18" s="25"/>
      <c r="K18" s="2"/>
      <c r="L18" s="2"/>
      <c r="M18" s="2"/>
      <c r="N18" s="2" t="s">
        <v>199</v>
      </c>
      <c r="O18" s="12" t="s">
        <v>1029</v>
      </c>
    </row>
    <row r="19" spans="1:24" ht="18" customHeight="1">
      <c r="A19" s="11" t="s">
        <v>507</v>
      </c>
      <c r="B19" s="2" t="s">
        <v>1007</v>
      </c>
      <c r="C19" s="2" t="s">
        <v>1297</v>
      </c>
      <c r="D19" s="2" t="s">
        <v>1263</v>
      </c>
      <c r="E19" s="25"/>
      <c r="F19" s="2"/>
      <c r="G19" s="2"/>
      <c r="H19" s="25"/>
      <c r="I19" s="2"/>
      <c r="J19" s="25"/>
      <c r="K19" s="2"/>
      <c r="L19" s="2"/>
      <c r="M19" s="2"/>
      <c r="N19" s="2" t="s">
        <v>199</v>
      </c>
      <c r="O19" s="12" t="s">
        <v>1029</v>
      </c>
    </row>
    <row r="20" spans="1:24" ht="18" customHeight="1">
      <c r="A20" s="11" t="s">
        <v>208</v>
      </c>
      <c r="B20" s="2" t="s">
        <v>908</v>
      </c>
      <c r="C20" s="2" t="s">
        <v>609</v>
      </c>
      <c r="D20" s="2" t="s">
        <v>1263</v>
      </c>
      <c r="E20" s="25"/>
      <c r="F20" s="2"/>
      <c r="G20" s="2"/>
      <c r="H20" s="2"/>
      <c r="I20" s="2"/>
      <c r="J20" s="25"/>
      <c r="K20" s="2"/>
      <c r="L20" s="2"/>
      <c r="M20" s="2"/>
      <c r="N20" s="2" t="s">
        <v>199</v>
      </c>
      <c r="O20" s="12" t="s">
        <v>1029</v>
      </c>
    </row>
    <row r="21" spans="1:24" ht="18" customHeight="1">
      <c r="A21" s="11" t="s">
        <v>400</v>
      </c>
      <c r="B21" s="2" t="s">
        <v>833</v>
      </c>
      <c r="C21" s="2" t="s">
        <v>894</v>
      </c>
      <c r="D21" s="2" t="s">
        <v>917</v>
      </c>
      <c r="E21" s="25"/>
      <c r="F21" s="2"/>
      <c r="G21" s="2"/>
      <c r="H21" s="25"/>
      <c r="I21" s="2"/>
      <c r="J21" s="25"/>
      <c r="K21" s="2"/>
      <c r="L21" s="2"/>
      <c r="M21" s="2"/>
      <c r="N21" s="2" t="s">
        <v>199</v>
      </c>
      <c r="O21" s="12" t="s">
        <v>1029</v>
      </c>
      <c r="U21" t="s">
        <v>592</v>
      </c>
    </row>
    <row r="22" spans="1:24" ht="18" customHeight="1">
      <c r="A22" s="11" t="s">
        <v>693</v>
      </c>
      <c r="B22" s="2" t="s">
        <v>606</v>
      </c>
      <c r="C22" s="2" t="s">
        <v>905</v>
      </c>
      <c r="D22" s="2" t="s">
        <v>517</v>
      </c>
      <c r="E22" s="25"/>
      <c r="F22" s="2"/>
      <c r="G22" s="2"/>
      <c r="H22" s="25"/>
      <c r="I22" s="2"/>
      <c r="J22" s="25"/>
      <c r="K22" s="2"/>
      <c r="L22" s="2"/>
      <c r="M22" s="2"/>
      <c r="N22" s="2" t="s">
        <v>199</v>
      </c>
      <c r="O22" s="12" t="s">
        <v>1029</v>
      </c>
      <c r="U22" t="s">
        <v>189</v>
      </c>
    </row>
    <row r="23" spans="1:24" ht="18" customHeight="1">
      <c r="A23" s="11" t="s">
        <v>555</v>
      </c>
      <c r="B23" s="2" t="s">
        <v>1178</v>
      </c>
      <c r="C23" s="2" t="s">
        <v>243</v>
      </c>
      <c r="D23" s="2" t="s">
        <v>1282</v>
      </c>
      <c r="E23" s="25"/>
      <c r="F23" s="2"/>
      <c r="G23" s="2"/>
      <c r="H23" s="25"/>
      <c r="I23" s="2"/>
      <c r="J23" s="25"/>
      <c r="K23" s="2"/>
      <c r="L23" s="2"/>
      <c r="M23" s="2"/>
      <c r="N23" s="2" t="s">
        <v>199</v>
      </c>
      <c r="O23" s="12" t="s">
        <v>1029</v>
      </c>
      <c r="U23" t="s">
        <v>1249</v>
      </c>
    </row>
    <row r="24" spans="1:24" ht="18" customHeight="1">
      <c r="A24" s="11" t="s">
        <v>475</v>
      </c>
      <c r="B24" s="2" t="s">
        <v>1216</v>
      </c>
      <c r="C24" s="2" t="s">
        <v>243</v>
      </c>
      <c r="D24" s="2" t="s">
        <v>1282</v>
      </c>
      <c r="E24" s="25"/>
      <c r="F24" s="2"/>
      <c r="G24" s="2"/>
      <c r="H24" s="25"/>
      <c r="I24" s="2"/>
      <c r="J24" s="25"/>
      <c r="K24" s="2"/>
      <c r="L24" s="2"/>
      <c r="M24" s="2"/>
      <c r="N24" s="2" t="s">
        <v>199</v>
      </c>
      <c r="O24" s="12" t="s">
        <v>1029</v>
      </c>
      <c r="U24" t="s">
        <v>777</v>
      </c>
    </row>
    <row r="25" spans="1:24" ht="18" customHeight="1">
      <c r="A25" s="11" t="s">
        <v>1118</v>
      </c>
      <c r="B25" s="2" t="s">
        <v>1104</v>
      </c>
      <c r="C25" s="2" t="s">
        <v>1245</v>
      </c>
      <c r="D25" s="2" t="s">
        <v>232</v>
      </c>
      <c r="E25" s="25"/>
      <c r="F25" s="2"/>
      <c r="G25" s="2"/>
      <c r="H25" s="25"/>
      <c r="I25" s="2"/>
      <c r="J25" s="25"/>
      <c r="K25" s="2"/>
      <c r="L25" s="2"/>
      <c r="M25" s="2"/>
      <c r="N25" s="2" t="s">
        <v>199</v>
      </c>
      <c r="O25" s="12" t="s">
        <v>1029</v>
      </c>
    </row>
    <row r="26" spans="1:24" ht="18" customHeight="1">
      <c r="A26" s="11" t="s">
        <v>662</v>
      </c>
      <c r="B26" s="2" t="s">
        <v>344</v>
      </c>
      <c r="C26" s="2" t="s">
        <v>605</v>
      </c>
      <c r="D26" s="2" t="s">
        <v>1282</v>
      </c>
      <c r="E26" s="25"/>
      <c r="F26" s="2"/>
      <c r="G26" s="2"/>
      <c r="H26" s="25"/>
      <c r="I26" s="2"/>
      <c r="J26" s="25"/>
      <c r="K26" s="2"/>
      <c r="L26" s="2"/>
      <c r="M26" s="2"/>
      <c r="N26" s="2" t="s">
        <v>199</v>
      </c>
      <c r="O26" s="12" t="s">
        <v>1029</v>
      </c>
      <c r="W26" t="s">
        <v>110</v>
      </c>
    </row>
    <row r="27" spans="1:24" ht="18" customHeight="1">
      <c r="A27" s="11" t="s">
        <v>644</v>
      </c>
      <c r="B27" s="2" t="s">
        <v>1068</v>
      </c>
      <c r="C27" s="2" t="s">
        <v>1226</v>
      </c>
      <c r="D27" s="2" t="s">
        <v>937</v>
      </c>
      <c r="E27" s="25"/>
      <c r="F27" s="2"/>
      <c r="G27" s="2"/>
      <c r="H27" s="25"/>
      <c r="I27" s="2"/>
      <c r="J27" s="25"/>
      <c r="K27" s="2"/>
      <c r="L27" s="2"/>
      <c r="M27" s="2"/>
      <c r="N27" s="2" t="s">
        <v>199</v>
      </c>
      <c r="O27" s="12" t="s">
        <v>1029</v>
      </c>
    </row>
    <row r="28" spans="1:24" ht="18" customHeight="1">
      <c r="A28" s="11" t="s">
        <v>211</v>
      </c>
      <c r="B28" s="2" t="s">
        <v>602</v>
      </c>
      <c r="C28" s="2" t="s">
        <v>560</v>
      </c>
      <c r="D28" s="2" t="s">
        <v>1282</v>
      </c>
      <c r="E28" s="25"/>
      <c r="F28" s="2"/>
      <c r="G28" s="2"/>
      <c r="H28" s="25"/>
      <c r="I28" s="2"/>
      <c r="J28" s="25"/>
      <c r="K28" s="2"/>
      <c r="L28" s="2"/>
      <c r="M28" s="2"/>
      <c r="N28" s="2" t="s">
        <v>199</v>
      </c>
      <c r="O28" s="12" t="s">
        <v>1029</v>
      </c>
    </row>
    <row r="29" spans="1:24" ht="18" customHeight="1">
      <c r="A29" s="11" t="s">
        <v>817</v>
      </c>
      <c r="B29" s="2" t="s">
        <v>891</v>
      </c>
      <c r="C29" s="2" t="s">
        <v>260</v>
      </c>
      <c r="D29" s="2" t="s">
        <v>875</v>
      </c>
      <c r="E29" s="25"/>
      <c r="F29" s="2"/>
      <c r="G29" s="2"/>
      <c r="H29" s="25"/>
      <c r="I29" s="2"/>
      <c r="J29" s="25"/>
      <c r="K29" s="2"/>
      <c r="L29" s="2"/>
      <c r="M29" s="2"/>
      <c r="N29" s="2" t="s">
        <v>199</v>
      </c>
      <c r="O29" s="12" t="s">
        <v>1029</v>
      </c>
    </row>
    <row r="30" spans="1:24" ht="18" customHeight="1">
      <c r="A30" s="11" t="s">
        <v>1156</v>
      </c>
      <c r="B30" s="2" t="s">
        <v>1295</v>
      </c>
      <c r="C30" s="2" t="s">
        <v>983</v>
      </c>
      <c r="D30" s="2" t="s">
        <v>875</v>
      </c>
      <c r="E30" s="25"/>
      <c r="F30" s="2"/>
      <c r="G30" s="2"/>
      <c r="H30" s="25"/>
      <c r="I30" s="2"/>
      <c r="J30" s="25"/>
      <c r="K30" s="2"/>
      <c r="L30" s="2"/>
      <c r="M30" s="2"/>
      <c r="N30" s="2" t="s">
        <v>199</v>
      </c>
      <c r="O30" s="12" t="s">
        <v>1029</v>
      </c>
    </row>
    <row r="31" spans="1:24" ht="18" customHeight="1">
      <c r="A31" s="13" t="s">
        <v>1167</v>
      </c>
      <c r="B31" s="14" t="s">
        <v>333</v>
      </c>
      <c r="C31" s="14" t="s">
        <v>1210</v>
      </c>
      <c r="D31" s="14" t="s">
        <v>625</v>
      </c>
      <c r="E31" s="26"/>
      <c r="F31" s="14"/>
      <c r="G31" s="14"/>
      <c r="H31" s="26"/>
      <c r="I31" s="14"/>
      <c r="J31" s="26"/>
      <c r="K31" s="14"/>
      <c r="L31" s="14"/>
      <c r="M31" s="14"/>
      <c r="N31" s="14" t="s">
        <v>199</v>
      </c>
      <c r="O31" s="15" t="s">
        <v>1029</v>
      </c>
      <c r="U31" t="s">
        <v>1126</v>
      </c>
    </row>
    <row r="32" ht="18" customHeight="1">
      <c r="U32" t="s">
        <v>1126</v>
      </c>
    </row>
    <row r="33" ht="18" customHeight="1">
      <c r="U33" t="s">
        <v>1126</v>
      </c>
    </row>
    <row r="34" ht="18" customHeight="1">
      <c r="U34" t="s">
        <v>1126</v>
      </c>
    </row>
    <row r="35" ht="18" customHeight="1">
      <c r="U35" t="s">
        <v>1126</v>
      </c>
    </row>
    <row r="36" ht="18" customHeight="1">
      <c r="U36" t="s">
        <v>1126</v>
      </c>
    </row>
  </sheetData>
  <sheetProtection/>
  <mergeCells count="11">
    <mergeCell ref="H2:I2"/>
    <mergeCell ref="J2:K2"/>
    <mergeCell ref="L2:M2"/>
    <mergeCell ref="N2:N3"/>
    <mergeCell ref="O2:O3"/>
    <mergeCell ref="A2:A3"/>
    <mergeCell ref="B2:B3"/>
    <mergeCell ref="C2:C3"/>
    <mergeCell ref="D2:D3"/>
    <mergeCell ref="E2:E3"/>
    <mergeCell ref="F2:G2"/>
  </mergeCells>
  <printOptions/>
  <pageMargins left="0.31496062992125984" right="0.31496062992125984" top="1" bottom="0.5905511811023622" header="0.5" footer="0.5"/>
  <pageSetup horizontalDpi="600" verticalDpi="600" orientation="landscape" paperSize="9"/>
  <headerFooter alignWithMargins="0">
    <oddHeader>&amp;RPage : &amp;P/&amp;N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2" sqref="B2"/>
    </sheetView>
  </sheetViews>
  <sheetFormatPr defaultColWidth="9.33203125" defaultRowHeight="18" customHeight="1"/>
  <cols>
    <col min="1" max="1" width="25" style="0" customWidth="1"/>
    <col min="2" max="2" width="10" style="0" customWidth="1"/>
    <col min="3" max="3" width="25" style="0" customWidth="1"/>
    <col min="4" max="4" width="30" style="0" customWidth="1"/>
    <col min="5" max="5" width="70" style="0" customWidth="1"/>
  </cols>
  <sheetData>
    <row r="1" ht="18" customHeight="1">
      <c r="A1" t="s">
        <v>943</v>
      </c>
    </row>
    <row r="2" spans="1:5" ht="18" customHeight="1">
      <c r="A2" s="16" t="s">
        <v>126</v>
      </c>
      <c r="B2" s="17" t="s">
        <v>968</v>
      </c>
      <c r="C2" s="17" t="s">
        <v>235</v>
      </c>
      <c r="D2" s="22" t="s">
        <v>298</v>
      </c>
      <c r="E2" s="18" t="s">
        <v>38</v>
      </c>
    </row>
    <row r="3" spans="1:5" ht="18" customHeight="1">
      <c r="A3" s="11" t="s">
        <v>922</v>
      </c>
      <c r="B3" s="2" t="s">
        <v>1278</v>
      </c>
      <c r="C3" s="2">
        <v>75</v>
      </c>
      <c r="D3" s="23" t="s">
        <v>420</v>
      </c>
      <c r="E3" s="12" t="s">
        <v>1107</v>
      </c>
    </row>
    <row r="4" spans="1:5" ht="18" customHeight="1">
      <c r="A4" s="11" t="s">
        <v>1038</v>
      </c>
      <c r="B4" s="2" t="s">
        <v>1278</v>
      </c>
      <c r="C4" s="2">
        <v>0.2</v>
      </c>
      <c r="D4" s="23" t="s">
        <v>561</v>
      </c>
      <c r="E4" s="12" t="s">
        <v>1107</v>
      </c>
    </row>
    <row r="5" spans="1:5" ht="18" customHeight="1">
      <c r="A5" s="11" t="s">
        <v>1030</v>
      </c>
      <c r="B5" s="2" t="s">
        <v>1278</v>
      </c>
      <c r="C5" s="2">
        <v>1</v>
      </c>
      <c r="D5" s="23" t="s">
        <v>411</v>
      </c>
      <c r="E5" s="12" t="s">
        <v>577</v>
      </c>
    </row>
    <row r="6" spans="1:5" ht="18" customHeight="1">
      <c r="A6" s="11" t="s">
        <v>1120</v>
      </c>
      <c r="B6" s="2" t="s">
        <v>1278</v>
      </c>
      <c r="C6" s="2">
        <v>100</v>
      </c>
      <c r="D6" s="23" t="s">
        <v>846</v>
      </c>
      <c r="E6" s="12" t="s">
        <v>577</v>
      </c>
    </row>
    <row r="7" spans="1:5" ht="18" customHeight="1">
      <c r="A7" s="11" t="s">
        <v>752</v>
      </c>
      <c r="B7" s="2" t="s">
        <v>1278</v>
      </c>
      <c r="C7" s="2">
        <v>100</v>
      </c>
      <c r="D7" s="23" t="s">
        <v>572</v>
      </c>
      <c r="E7" s="12" t="s">
        <v>577</v>
      </c>
    </row>
    <row r="8" spans="1:5" ht="18" customHeight="1">
      <c r="A8" s="11" t="s">
        <v>1201</v>
      </c>
      <c r="B8" s="2" t="s">
        <v>1278</v>
      </c>
      <c r="C8" s="2">
        <v>100</v>
      </c>
      <c r="D8" s="23" t="s">
        <v>1014</v>
      </c>
      <c r="E8" s="12" t="s">
        <v>577</v>
      </c>
    </row>
    <row r="9" spans="1:5" ht="18" customHeight="1">
      <c r="A9" s="11" t="s">
        <v>1283</v>
      </c>
      <c r="B9" s="2" t="s">
        <v>1278</v>
      </c>
      <c r="C9" s="2">
        <v>100</v>
      </c>
      <c r="D9" s="23" t="s">
        <v>95</v>
      </c>
      <c r="E9" s="12" t="s">
        <v>577</v>
      </c>
    </row>
    <row r="10" spans="1:5" ht="18" customHeight="1">
      <c r="A10" s="11" t="s">
        <v>1004</v>
      </c>
      <c r="B10" s="2" t="s">
        <v>1278</v>
      </c>
      <c r="C10" s="2">
        <v>1.0386</v>
      </c>
      <c r="D10" s="23" t="s">
        <v>69</v>
      </c>
      <c r="E10" s="12" t="s">
        <v>1107</v>
      </c>
    </row>
    <row r="11" spans="1:5" ht="18" customHeight="1">
      <c r="A11" s="11" t="s">
        <v>938</v>
      </c>
      <c r="B11" s="2" t="s">
        <v>1278</v>
      </c>
      <c r="C11" s="2">
        <v>100</v>
      </c>
      <c r="D11" s="23" t="s">
        <v>699</v>
      </c>
      <c r="E11" s="12" t="s">
        <v>577</v>
      </c>
    </row>
    <row r="12" spans="1:5" ht="18" customHeight="1">
      <c r="A12" s="13" t="s">
        <v>143</v>
      </c>
      <c r="B12" s="14" t="s">
        <v>1278</v>
      </c>
      <c r="C12" s="14">
        <v>100</v>
      </c>
      <c r="D12" s="24" t="s">
        <v>460</v>
      </c>
      <c r="E12" s="15" t="s">
        <v>577</v>
      </c>
    </row>
  </sheetData>
  <sheetProtection/>
  <printOptions/>
  <pageMargins left="0.31496062992125984" right="0.31496062992125984" top="1" bottom="0.5905511811023622" header="0.5" footer="0.5"/>
  <pageSetup horizontalDpi="600" verticalDpi="600" orientation="portrait" paperSize="9"/>
  <headerFooter alignWithMargins="0">
    <oddHeader>&amp;RPage : &amp;P/&amp;N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50"/>
  <sheetViews>
    <sheetView showFormulas="1" zoomScalePageLayoutView="0" workbookViewId="0" topLeftCell="A1">
      <selection activeCell="B2" sqref="B2"/>
    </sheetView>
  </sheetViews>
  <sheetFormatPr defaultColWidth="9.33203125" defaultRowHeight="18" customHeight="1"/>
  <cols>
    <col min="1" max="1" width="15" style="0" customWidth="1"/>
    <col min="2" max="2" width="5" style="0" customWidth="1"/>
    <col min="3" max="4" width="20" style="0" customWidth="1"/>
  </cols>
  <sheetData>
    <row r="1" ht="18" customHeight="1">
      <c r="A1" t="s">
        <v>1166</v>
      </c>
    </row>
    <row r="2" spans="1:4" ht="18" customHeight="1">
      <c r="A2" s="16" t="s">
        <v>126</v>
      </c>
      <c r="B2" s="17" t="s">
        <v>968</v>
      </c>
      <c r="C2" s="17" t="s">
        <v>235</v>
      </c>
      <c r="D2" s="19" t="s">
        <v>298</v>
      </c>
    </row>
    <row r="3" spans="1:4" ht="18" customHeight="1">
      <c r="A3" s="11" t="s">
        <v>857</v>
      </c>
      <c r="B3" s="2" t="s">
        <v>416</v>
      </c>
      <c r="C3" s="2" t="s">
        <v>1239</v>
      </c>
      <c r="D3" s="20" t="s">
        <v>1297</v>
      </c>
    </row>
    <row r="4" spans="1:4" ht="18" customHeight="1">
      <c r="A4" s="11" t="s">
        <v>803</v>
      </c>
      <c r="B4" s="2" t="s">
        <v>1278</v>
      </c>
      <c r="C4" s="2">
        <v>1224</v>
      </c>
      <c r="D4" s="20" t="s">
        <v>533</v>
      </c>
    </row>
    <row r="5" spans="1:4" ht="18" customHeight="1">
      <c r="A5" s="11" t="s">
        <v>276</v>
      </c>
      <c r="B5" s="2" t="s">
        <v>1278</v>
      </c>
      <c r="C5" s="2">
        <v>1224</v>
      </c>
      <c r="D5" s="20" t="s">
        <v>1097</v>
      </c>
    </row>
    <row r="6" spans="1:4" ht="18" customHeight="1">
      <c r="A6" s="11" t="s">
        <v>173</v>
      </c>
      <c r="B6" s="2" t="s">
        <v>1278</v>
      </c>
      <c r="C6" s="2">
        <v>0</v>
      </c>
      <c r="D6" s="20" t="s">
        <v>1047</v>
      </c>
    </row>
    <row r="7" spans="1:4" ht="18" customHeight="1">
      <c r="A7" s="11" t="s">
        <v>322</v>
      </c>
      <c r="B7" s="2" t="s">
        <v>1278</v>
      </c>
      <c r="C7" s="2">
        <v>0</v>
      </c>
      <c r="D7" s="20" t="s">
        <v>762</v>
      </c>
    </row>
    <row r="8" spans="1:4" ht="18" customHeight="1">
      <c r="A8" s="11" t="s">
        <v>598</v>
      </c>
      <c r="B8" s="2" t="s">
        <v>1278</v>
      </c>
      <c r="C8" s="2">
        <v>0</v>
      </c>
      <c r="D8" s="20" t="s">
        <v>1153</v>
      </c>
    </row>
    <row r="9" spans="1:4" ht="18" customHeight="1">
      <c r="A9" s="11" t="s">
        <v>228</v>
      </c>
      <c r="B9" s="2" t="s">
        <v>1278</v>
      </c>
      <c r="C9" s="2">
        <v>0</v>
      </c>
      <c r="D9" s="20" t="s">
        <v>549</v>
      </c>
    </row>
    <row r="10" spans="1:4" ht="18" customHeight="1">
      <c r="A10" s="11" t="s">
        <v>932</v>
      </c>
      <c r="B10" s="2" t="s">
        <v>416</v>
      </c>
      <c r="C10" s="2" t="s">
        <v>11</v>
      </c>
      <c r="D10" s="20" t="s">
        <v>948</v>
      </c>
    </row>
    <row r="11" spans="1:4" ht="18" customHeight="1">
      <c r="A11" s="11" t="s">
        <v>10</v>
      </c>
      <c r="B11" s="2" t="s">
        <v>416</v>
      </c>
      <c r="C11" s="2" t="s">
        <v>11</v>
      </c>
      <c r="D11" s="20" t="s">
        <v>283</v>
      </c>
    </row>
    <row r="12" spans="1:4" ht="18" customHeight="1">
      <c r="A12" s="11" t="s">
        <v>758</v>
      </c>
      <c r="B12" s="2" t="s">
        <v>416</v>
      </c>
      <c r="C12" s="2" t="s">
        <v>663</v>
      </c>
      <c r="D12" s="20" t="s">
        <v>923</v>
      </c>
    </row>
    <row r="13" spans="1:4" ht="18" customHeight="1">
      <c r="A13" s="11" t="s">
        <v>60</v>
      </c>
      <c r="B13" s="2" t="s">
        <v>1278</v>
      </c>
      <c r="C13" s="2">
        <v>1.25</v>
      </c>
      <c r="D13" s="20" t="s">
        <v>1042</v>
      </c>
    </row>
    <row r="14" spans="1:4" ht="18" customHeight="1">
      <c r="A14" s="11" t="s">
        <v>778</v>
      </c>
      <c r="B14" s="2" t="s">
        <v>1278</v>
      </c>
      <c r="C14" s="2">
        <v>1.071</v>
      </c>
      <c r="D14" s="20" t="s">
        <v>446</v>
      </c>
    </row>
    <row r="15" spans="1:4" ht="18" customHeight="1">
      <c r="A15" s="11" t="s">
        <v>633</v>
      </c>
      <c r="B15" s="2" t="s">
        <v>416</v>
      </c>
      <c r="C15" s="2" t="s">
        <v>1126</v>
      </c>
      <c r="D15" s="20" t="s">
        <v>848</v>
      </c>
    </row>
    <row r="16" spans="1:4" ht="18" customHeight="1">
      <c r="A16" s="11" t="s">
        <v>854</v>
      </c>
      <c r="B16" s="2" t="s">
        <v>416</v>
      </c>
      <c r="C16" s="2" t="s">
        <v>1126</v>
      </c>
      <c r="D16" s="20" t="s">
        <v>885</v>
      </c>
    </row>
    <row r="17" spans="1:4" ht="18" customHeight="1">
      <c r="A17" s="11" t="s">
        <v>263</v>
      </c>
      <c r="B17" s="2" t="s">
        <v>416</v>
      </c>
      <c r="C17" s="2" t="s">
        <v>1126</v>
      </c>
      <c r="D17" s="20" t="s">
        <v>237</v>
      </c>
    </row>
    <row r="18" spans="1:4" ht="18" customHeight="1">
      <c r="A18" s="11" t="s">
        <v>461</v>
      </c>
      <c r="B18" s="2" t="s">
        <v>416</v>
      </c>
      <c r="C18" s="5">
        <f aca="true" t="shared" si="0" ref="C18:C23">25/20*16/12*1/8</f>
        <v>0.20833333333333334</v>
      </c>
      <c r="D18" s="20" t="s">
        <v>1200</v>
      </c>
    </row>
    <row r="19" spans="1:4" ht="18" customHeight="1">
      <c r="A19" s="11" t="s">
        <v>1175</v>
      </c>
      <c r="B19" s="2" t="s">
        <v>416</v>
      </c>
      <c r="C19" s="5">
        <f t="shared" si="0"/>
        <v>0.20833333333333334</v>
      </c>
      <c r="D19" s="20" t="s">
        <v>377</v>
      </c>
    </row>
    <row r="20" spans="1:4" ht="18" customHeight="1">
      <c r="A20" s="11" t="s">
        <v>117</v>
      </c>
      <c r="B20" s="2" t="s">
        <v>416</v>
      </c>
      <c r="C20" s="5">
        <f t="shared" si="0"/>
        <v>0.20833333333333334</v>
      </c>
      <c r="D20" s="20" t="s">
        <v>889</v>
      </c>
    </row>
    <row r="21" spans="1:4" ht="18" customHeight="1">
      <c r="A21" s="11" t="s">
        <v>428</v>
      </c>
      <c r="B21" s="2" t="s">
        <v>416</v>
      </c>
      <c r="C21" s="5">
        <f t="shared" si="0"/>
        <v>0.20833333333333334</v>
      </c>
      <c r="D21" s="20" t="s">
        <v>532</v>
      </c>
    </row>
    <row r="22" spans="1:4" ht="18" customHeight="1">
      <c r="A22" s="11" t="s">
        <v>1199</v>
      </c>
      <c r="B22" s="2" t="s">
        <v>416</v>
      </c>
      <c r="C22" s="5">
        <f t="shared" si="0"/>
        <v>0.20833333333333334</v>
      </c>
      <c r="D22" s="20" t="s">
        <v>958</v>
      </c>
    </row>
    <row r="23" spans="1:4" ht="18" customHeight="1">
      <c r="A23" s="11" t="s">
        <v>610</v>
      </c>
      <c r="B23" s="2" t="s">
        <v>416</v>
      </c>
      <c r="C23" s="5">
        <f t="shared" si="0"/>
        <v>0.20833333333333334</v>
      </c>
      <c r="D23" s="20" t="s">
        <v>96</v>
      </c>
    </row>
    <row r="24" spans="1:4" ht="18" customHeight="1">
      <c r="A24" s="11" t="s">
        <v>984</v>
      </c>
      <c r="B24" s="2" t="s">
        <v>1278</v>
      </c>
      <c r="C24" s="2">
        <v>1</v>
      </c>
      <c r="D24" s="20" t="s">
        <v>655</v>
      </c>
    </row>
    <row r="25" spans="1:4" ht="18" customHeight="1">
      <c r="A25" s="11" t="s">
        <v>623</v>
      </c>
      <c r="B25" s="2" t="s">
        <v>1278</v>
      </c>
      <c r="C25" s="2">
        <v>1.5</v>
      </c>
      <c r="D25" s="20" t="s">
        <v>1198</v>
      </c>
    </row>
    <row r="26" spans="1:4" ht="18" customHeight="1">
      <c r="A26" s="11" t="s">
        <v>1193</v>
      </c>
      <c r="B26" s="2" t="s">
        <v>1278</v>
      </c>
      <c r="C26" s="2">
        <v>1.16</v>
      </c>
      <c r="D26" s="20" t="s">
        <v>1250</v>
      </c>
    </row>
    <row r="27" spans="1:4" ht="18" customHeight="1">
      <c r="A27" s="11" t="s">
        <v>1277</v>
      </c>
      <c r="B27" s="2" t="s">
        <v>1278</v>
      </c>
      <c r="C27" s="2">
        <v>1.6</v>
      </c>
      <c r="D27" s="20" t="s">
        <v>324</v>
      </c>
    </row>
    <row r="28" spans="1:4" ht="18" customHeight="1">
      <c r="A28" s="11" t="s">
        <v>316</v>
      </c>
      <c r="B28" s="2" t="s">
        <v>1278</v>
      </c>
      <c r="C28" s="2">
        <v>1.6</v>
      </c>
      <c r="D28" s="20" t="s">
        <v>227</v>
      </c>
    </row>
    <row r="29" spans="1:4" ht="18" customHeight="1">
      <c r="A29" s="11" t="s">
        <v>1076</v>
      </c>
      <c r="B29" s="2" t="s">
        <v>1278</v>
      </c>
      <c r="C29" s="2">
        <v>1.6</v>
      </c>
      <c r="D29" s="20" t="s">
        <v>847</v>
      </c>
    </row>
    <row r="30" spans="1:4" ht="18" customHeight="1">
      <c r="A30" s="11" t="s">
        <v>573</v>
      </c>
      <c r="B30" s="2" t="s">
        <v>1278</v>
      </c>
      <c r="C30" s="2">
        <v>1.94</v>
      </c>
      <c r="D30" s="20" t="s">
        <v>855</v>
      </c>
    </row>
    <row r="31" spans="1:4" ht="18" customHeight="1">
      <c r="A31" s="11" t="s">
        <v>1152</v>
      </c>
      <c r="B31" s="2" t="s">
        <v>1278</v>
      </c>
      <c r="C31" s="2">
        <v>1.94</v>
      </c>
      <c r="D31" s="20" t="s">
        <v>951</v>
      </c>
    </row>
    <row r="32" spans="1:4" ht="18" customHeight="1">
      <c r="A32" s="11" t="s">
        <v>442</v>
      </c>
      <c r="B32" s="2" t="s">
        <v>1278</v>
      </c>
      <c r="C32" s="2">
        <v>1.94</v>
      </c>
      <c r="D32" s="20" t="s">
        <v>234</v>
      </c>
    </row>
    <row r="33" spans="1:4" ht="18" customHeight="1">
      <c r="A33" s="11" t="s">
        <v>297</v>
      </c>
      <c r="B33" s="2" t="s">
        <v>1278</v>
      </c>
      <c r="C33" s="2">
        <v>1</v>
      </c>
      <c r="D33" s="20" t="s">
        <v>309</v>
      </c>
    </row>
    <row r="34" spans="1:4" ht="18" customHeight="1">
      <c r="A34" s="11" t="s">
        <v>862</v>
      </c>
      <c r="B34" s="2" t="s">
        <v>1278</v>
      </c>
      <c r="C34" s="2">
        <v>1</v>
      </c>
      <c r="D34" s="20" t="s">
        <v>435</v>
      </c>
    </row>
    <row r="35" spans="1:4" ht="18" customHeight="1">
      <c r="A35" s="11" t="s">
        <v>115</v>
      </c>
      <c r="B35" s="2" t="s">
        <v>1278</v>
      </c>
      <c r="C35" s="2">
        <v>1</v>
      </c>
      <c r="D35" s="20" t="s">
        <v>740</v>
      </c>
    </row>
    <row r="36" spans="1:4" ht="18" customHeight="1">
      <c r="A36" s="11" t="s">
        <v>872</v>
      </c>
      <c r="B36" s="2" t="s">
        <v>416</v>
      </c>
      <c r="C36" s="2" t="s">
        <v>1126</v>
      </c>
      <c r="D36" s="20" t="s">
        <v>104</v>
      </c>
    </row>
    <row r="37" spans="1:4" ht="18" customHeight="1">
      <c r="A37" s="11" t="s">
        <v>651</v>
      </c>
      <c r="B37" s="2" t="s">
        <v>416</v>
      </c>
      <c r="C37" s="2" t="s">
        <v>1126</v>
      </c>
      <c r="D37" s="20" t="s">
        <v>99</v>
      </c>
    </row>
    <row r="38" spans="1:4" ht="18" customHeight="1">
      <c r="A38" s="11" t="s">
        <v>168</v>
      </c>
      <c r="B38" s="2" t="s">
        <v>416</v>
      </c>
      <c r="C38" s="2" t="s">
        <v>1126</v>
      </c>
      <c r="D38" s="20" t="s">
        <v>53</v>
      </c>
    </row>
    <row r="39" spans="1:4" ht="18" customHeight="1">
      <c r="A39" s="11" t="s">
        <v>1019</v>
      </c>
      <c r="B39" s="2" t="s">
        <v>1278</v>
      </c>
      <c r="C39" s="2">
        <v>1.11</v>
      </c>
      <c r="D39" s="20" t="s">
        <v>1136</v>
      </c>
    </row>
    <row r="40" spans="1:4" ht="18" customHeight="1">
      <c r="A40" s="11" t="s">
        <v>452</v>
      </c>
      <c r="B40" s="2" t="s">
        <v>1278</v>
      </c>
      <c r="C40" s="2">
        <v>1.12</v>
      </c>
      <c r="D40" s="20" t="s">
        <v>388</v>
      </c>
    </row>
    <row r="41" spans="1:4" ht="18" customHeight="1">
      <c r="A41" s="11" t="s">
        <v>1197</v>
      </c>
      <c r="B41" s="2" t="s">
        <v>416</v>
      </c>
      <c r="C41" s="2" t="s">
        <v>1244</v>
      </c>
      <c r="D41" s="20" t="s">
        <v>1090</v>
      </c>
    </row>
    <row r="42" spans="1:4" ht="18" customHeight="1">
      <c r="A42" s="11" t="s">
        <v>975</v>
      </c>
      <c r="B42" s="2" t="s">
        <v>416</v>
      </c>
      <c r="C42" s="2" t="s">
        <v>1244</v>
      </c>
      <c r="D42" s="20" t="s">
        <v>1132</v>
      </c>
    </row>
    <row r="43" spans="1:4" ht="18" customHeight="1">
      <c r="A43" s="11" t="s">
        <v>474</v>
      </c>
      <c r="B43" s="2" t="s">
        <v>416</v>
      </c>
      <c r="C43" s="2" t="s">
        <v>1244</v>
      </c>
      <c r="D43" s="20" t="s">
        <v>626</v>
      </c>
    </row>
    <row r="44" spans="1:4" ht="18" customHeight="1">
      <c r="A44" s="11" t="s">
        <v>942</v>
      </c>
      <c r="B44" s="2" t="s">
        <v>416</v>
      </c>
      <c r="C44" s="2" t="s">
        <v>1126</v>
      </c>
      <c r="D44" s="20" t="s">
        <v>1297</v>
      </c>
    </row>
    <row r="45" spans="1:4" ht="18" customHeight="1">
      <c r="A45" s="11" t="s">
        <v>495</v>
      </c>
      <c r="B45" s="2" t="s">
        <v>416</v>
      </c>
      <c r="C45" s="2" t="s">
        <v>1297</v>
      </c>
      <c r="D45" s="20" t="s">
        <v>1297</v>
      </c>
    </row>
    <row r="46" spans="1:4" ht="18" customHeight="1">
      <c r="A46" s="11" t="s">
        <v>371</v>
      </c>
      <c r="B46" s="2" t="s">
        <v>416</v>
      </c>
      <c r="C46" s="2" t="s">
        <v>1297</v>
      </c>
      <c r="D46" s="20" t="s">
        <v>1297</v>
      </c>
    </row>
    <row r="47" spans="1:4" ht="18" customHeight="1">
      <c r="A47" s="11" t="s">
        <v>686</v>
      </c>
      <c r="B47" s="2" t="s">
        <v>1278</v>
      </c>
      <c r="C47" s="2">
        <v>0</v>
      </c>
      <c r="D47" s="20" t="s">
        <v>345</v>
      </c>
    </row>
    <row r="48" spans="1:4" ht="18" customHeight="1">
      <c r="A48" s="11" t="s">
        <v>140</v>
      </c>
      <c r="B48" s="2" t="s">
        <v>1278</v>
      </c>
      <c r="C48" s="2">
        <v>0</v>
      </c>
      <c r="D48" s="20" t="s">
        <v>852</v>
      </c>
    </row>
    <row r="49" spans="1:4" ht="18" customHeight="1">
      <c r="A49" s="11" t="s">
        <v>209</v>
      </c>
      <c r="B49" s="2" t="s">
        <v>416</v>
      </c>
      <c r="C49" s="2" t="s">
        <v>622</v>
      </c>
      <c r="D49" s="20" t="s">
        <v>1297</v>
      </c>
    </row>
    <row r="50" spans="1:4" ht="18" customHeight="1">
      <c r="A50" s="13" t="s">
        <v>179</v>
      </c>
      <c r="B50" s="14" t="s">
        <v>416</v>
      </c>
      <c r="C50" s="14" t="s">
        <v>1126</v>
      </c>
      <c r="D50" s="21" t="s">
        <v>1297</v>
      </c>
    </row>
  </sheetData>
  <sheetProtection/>
  <printOptions/>
  <pageMargins left="0.31496062992125984" right="0.31496062992125984" top="1" bottom="0.5905511811023622" header="0.5" footer="0.5"/>
  <pageSetup horizontalDpi="600" verticalDpi="600" orientation="portrait" paperSize="9" r:id="rId1"/>
  <headerFooter alignWithMargins="0">
    <oddHeader>&amp;RPage : &amp;P/&amp;N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33203125" defaultRowHeight="12.75" customHeight="1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3"/>
  <sheetViews>
    <sheetView zoomScalePageLayoutView="0" workbookViewId="0" topLeftCell="A13">
      <selection activeCell="AM24" sqref="AM24"/>
    </sheetView>
  </sheetViews>
  <sheetFormatPr defaultColWidth="9.33203125" defaultRowHeight="18" customHeight="1"/>
  <cols>
    <col min="1" max="1" width="25" style="0" customWidth="1"/>
    <col min="2" max="2" width="20" style="0" customWidth="1"/>
    <col min="3" max="3" width="8" style="0" customWidth="1"/>
    <col min="4" max="4" width="5" style="0" customWidth="1"/>
    <col min="5" max="8" width="13" style="0" customWidth="1"/>
    <col min="9" max="9" width="10" style="0" customWidth="1"/>
    <col min="10" max="23" width="0" style="0" hidden="1" customWidth="1"/>
  </cols>
  <sheetData>
    <row r="1" ht="18" customHeight="1">
      <c r="A1" t="s">
        <v>853</v>
      </c>
    </row>
    <row r="2" spans="1:25" ht="18" customHeight="1">
      <c r="A2" s="16" t="s">
        <v>216</v>
      </c>
      <c r="B2" s="17" t="s">
        <v>473</v>
      </c>
      <c r="C2" s="17" t="s">
        <v>42</v>
      </c>
      <c r="D2" s="17" t="s">
        <v>1215</v>
      </c>
      <c r="E2" s="17" t="s">
        <v>1261</v>
      </c>
      <c r="F2" s="17" t="s">
        <v>884</v>
      </c>
      <c r="G2" s="17" t="s">
        <v>501</v>
      </c>
      <c r="H2" s="17" t="s">
        <v>93</v>
      </c>
      <c r="I2" s="19" t="s">
        <v>317</v>
      </c>
      <c r="T2" s="1" t="s">
        <v>798</v>
      </c>
      <c r="U2" s="1" t="s">
        <v>1094</v>
      </c>
      <c r="V2" s="1" t="s">
        <v>1064</v>
      </c>
      <c r="W2" s="1" t="s">
        <v>399</v>
      </c>
      <c r="Y2" s="1" t="s">
        <v>281</v>
      </c>
    </row>
    <row r="3" spans="1:27" ht="18" customHeight="1">
      <c r="A3" s="11" t="s">
        <v>732</v>
      </c>
      <c r="B3" s="2" t="s">
        <v>901</v>
      </c>
      <c r="C3" s="2">
        <v>1</v>
      </c>
      <c r="D3" s="2" t="s">
        <v>927</v>
      </c>
      <c r="E3" s="29">
        <f aca="true" t="shared" si="0" ref="E3:E33">F3+G3+H3</f>
        <v>0</v>
      </c>
      <c r="F3" s="29">
        <f>일위대가_산근!C4</f>
        <v>0</v>
      </c>
      <c r="G3" s="29">
        <f>일위대가_산근!D4</f>
        <v>0</v>
      </c>
      <c r="H3" s="29">
        <f>일위대가_산근!E4</f>
        <v>0</v>
      </c>
      <c r="I3" s="20" t="s">
        <v>1297</v>
      </c>
      <c r="K3" t="s">
        <v>541</v>
      </c>
      <c r="L3" t="s">
        <v>1083</v>
      </c>
      <c r="T3" s="29">
        <v>7296</v>
      </c>
      <c r="U3" s="29">
        <v>45166</v>
      </c>
      <c r="V3" s="29">
        <v>11096</v>
      </c>
      <c r="W3" s="29">
        <v>63558</v>
      </c>
      <c r="Y3" s="7" t="b">
        <f aca="true" t="shared" si="1" ref="Y3:Y33">EXACT($E3,$W3)</f>
        <v>0</v>
      </c>
      <c r="AA3" s="34" t="str">
        <f>HYPERLINK("#일위대가_산근!A4","PAB0F063 →")</f>
        <v>PAB0F063 →</v>
      </c>
    </row>
    <row r="4" spans="1:27" ht="18" customHeight="1">
      <c r="A4" s="11" t="s">
        <v>716</v>
      </c>
      <c r="B4" s="2" t="s">
        <v>1297</v>
      </c>
      <c r="C4" s="2">
        <v>1</v>
      </c>
      <c r="D4" s="2" t="s">
        <v>757</v>
      </c>
      <c r="E4" s="29">
        <f t="shared" si="0"/>
        <v>0</v>
      </c>
      <c r="F4" s="29">
        <f>일위대가_산근!C58</f>
        <v>0</v>
      </c>
      <c r="G4" s="29">
        <f>일위대가_산근!D58</f>
        <v>0</v>
      </c>
      <c r="H4" s="29">
        <f>일위대가_산근!E58</f>
        <v>0</v>
      </c>
      <c r="I4" s="20" t="s">
        <v>1297</v>
      </c>
      <c r="K4" t="s">
        <v>27</v>
      </c>
      <c r="L4" t="s">
        <v>1083</v>
      </c>
      <c r="T4" s="29">
        <v>712</v>
      </c>
      <c r="U4" s="29">
        <v>1246</v>
      </c>
      <c r="V4" s="29">
        <v>53</v>
      </c>
      <c r="W4" s="29">
        <v>2011</v>
      </c>
      <c r="Y4" s="7" t="b">
        <f t="shared" si="1"/>
        <v>0</v>
      </c>
      <c r="AA4" s="34" t="str">
        <f>HYPERLINK("#일위대가_산근!A58","SA01500 →")</f>
        <v>SA01500 →</v>
      </c>
    </row>
    <row r="5" spans="1:27" ht="18" customHeight="1">
      <c r="A5" s="11" t="s">
        <v>879</v>
      </c>
      <c r="B5" s="2" t="s">
        <v>1071</v>
      </c>
      <c r="C5" s="2">
        <v>1</v>
      </c>
      <c r="D5" s="2" t="s">
        <v>927</v>
      </c>
      <c r="E5" s="29">
        <f t="shared" si="0"/>
        <v>0</v>
      </c>
      <c r="F5" s="29">
        <f>일위대가_산근!C122</f>
        <v>0</v>
      </c>
      <c r="G5" s="29">
        <f>일위대가_산근!D122</f>
        <v>0</v>
      </c>
      <c r="H5" s="29">
        <f>일위대가_산근!E122</f>
        <v>0</v>
      </c>
      <c r="I5" s="20" t="s">
        <v>1297</v>
      </c>
      <c r="K5" t="s">
        <v>727</v>
      </c>
      <c r="L5" t="s">
        <v>1083</v>
      </c>
      <c r="T5" s="29">
        <v>487</v>
      </c>
      <c r="U5" s="29">
        <v>17158</v>
      </c>
      <c r="V5" s="29">
        <v>611</v>
      </c>
      <c r="W5" s="29">
        <v>18256</v>
      </c>
      <c r="Y5" s="7" t="b">
        <f t="shared" si="1"/>
        <v>0</v>
      </c>
      <c r="AA5" s="34" t="str">
        <f>HYPERLINK("#일위대가_산근!A122","HAAAD040 →")</f>
        <v>HAAAD040 →</v>
      </c>
    </row>
    <row r="6" spans="1:27" ht="18" customHeight="1">
      <c r="A6" s="11" t="s">
        <v>667</v>
      </c>
      <c r="B6" s="2" t="s">
        <v>138</v>
      </c>
      <c r="C6" s="2">
        <v>1</v>
      </c>
      <c r="D6" s="2" t="s">
        <v>927</v>
      </c>
      <c r="E6" s="29">
        <f t="shared" si="0"/>
        <v>0</v>
      </c>
      <c r="F6" s="29">
        <f>일위대가_산근!C157</f>
        <v>0</v>
      </c>
      <c r="G6" s="29">
        <f>일위대가_산근!D157</f>
        <v>0</v>
      </c>
      <c r="H6" s="29">
        <f>일위대가_산근!E157</f>
        <v>0</v>
      </c>
      <c r="I6" s="20" t="s">
        <v>1297</v>
      </c>
      <c r="K6" t="s">
        <v>941</v>
      </c>
      <c r="L6" t="s">
        <v>1083</v>
      </c>
      <c r="T6" s="29">
        <v>633</v>
      </c>
      <c r="U6" s="29">
        <v>16425</v>
      </c>
      <c r="V6" s="29">
        <v>526</v>
      </c>
      <c r="W6" s="29">
        <v>17584</v>
      </c>
      <c r="Y6" s="7" t="b">
        <f t="shared" si="1"/>
        <v>0</v>
      </c>
      <c r="AA6" s="34" t="str">
        <f>HYPERLINK("#일위대가_산근!A157","HBAAD120 →")</f>
        <v>HBAAD120 →</v>
      </c>
    </row>
    <row r="7" spans="1:27" ht="18" customHeight="1">
      <c r="A7" s="11" t="s">
        <v>920</v>
      </c>
      <c r="B7" s="2" t="s">
        <v>613</v>
      </c>
      <c r="C7" s="2">
        <v>1</v>
      </c>
      <c r="D7" s="2" t="s">
        <v>927</v>
      </c>
      <c r="E7" s="29">
        <f t="shared" si="0"/>
        <v>0</v>
      </c>
      <c r="F7" s="29">
        <f>일위대가_산근!C215</f>
        <v>0</v>
      </c>
      <c r="G7" s="29">
        <f>일위대가_산근!D215</f>
        <v>0</v>
      </c>
      <c r="H7" s="29">
        <f>일위대가_산근!E215</f>
        <v>0</v>
      </c>
      <c r="I7" s="20" t="s">
        <v>1297</v>
      </c>
      <c r="K7" t="s">
        <v>164</v>
      </c>
      <c r="L7" t="s">
        <v>1083</v>
      </c>
      <c r="T7" s="29">
        <v>3589</v>
      </c>
      <c r="U7" s="29">
        <v>12350</v>
      </c>
      <c r="V7" s="29">
        <v>4338</v>
      </c>
      <c r="W7" s="29">
        <v>20277</v>
      </c>
      <c r="Y7" s="7" t="b">
        <f t="shared" si="1"/>
        <v>0</v>
      </c>
      <c r="AA7" s="34" t="str">
        <f>HYPERLINK("#일위대가_산근!A215","SYTK00038 →")</f>
        <v>SYTK00038 →</v>
      </c>
    </row>
    <row r="8" spans="1:27" ht="18" customHeight="1">
      <c r="A8" s="11" t="s">
        <v>275</v>
      </c>
      <c r="B8" s="2" t="s">
        <v>274</v>
      </c>
      <c r="C8" s="2">
        <v>1</v>
      </c>
      <c r="D8" s="2" t="s">
        <v>927</v>
      </c>
      <c r="E8" s="29">
        <f t="shared" si="0"/>
        <v>0</v>
      </c>
      <c r="F8" s="29">
        <f>일위대가_산근!C273</f>
        <v>0</v>
      </c>
      <c r="G8" s="29">
        <f>일위대가_산근!D273</f>
        <v>0</v>
      </c>
      <c r="H8" s="29">
        <f>일위대가_산근!E273</f>
        <v>0</v>
      </c>
      <c r="I8" s="20" t="s">
        <v>1297</v>
      </c>
      <c r="K8" t="s">
        <v>1131</v>
      </c>
      <c r="L8" t="s">
        <v>1083</v>
      </c>
      <c r="T8" s="29">
        <v>503</v>
      </c>
      <c r="U8" s="29">
        <v>9835</v>
      </c>
      <c r="V8" s="29">
        <v>423</v>
      </c>
      <c r="W8" s="29">
        <v>10761</v>
      </c>
      <c r="Y8" s="7" t="b">
        <f t="shared" si="1"/>
        <v>0</v>
      </c>
      <c r="AA8" s="34" t="str">
        <f>HYPERLINK("#일위대가_산근!A273","HBABD040 →")</f>
        <v>HBABD040 →</v>
      </c>
    </row>
    <row r="9" spans="1:27" ht="18" customHeight="1">
      <c r="A9" s="11" t="s">
        <v>213</v>
      </c>
      <c r="B9" s="2" t="s">
        <v>238</v>
      </c>
      <c r="C9" s="2">
        <v>1</v>
      </c>
      <c r="D9" s="2" t="s">
        <v>927</v>
      </c>
      <c r="E9" s="29">
        <f t="shared" si="0"/>
        <v>0</v>
      </c>
      <c r="F9" s="29">
        <f>일위대가_산근!C339</f>
        <v>0</v>
      </c>
      <c r="G9" s="29">
        <f>일위대가_산근!D339</f>
        <v>0</v>
      </c>
      <c r="H9" s="29">
        <f>일위대가_산근!E339</f>
        <v>0</v>
      </c>
      <c r="I9" s="20" t="s">
        <v>1297</v>
      </c>
      <c r="K9" t="s">
        <v>776</v>
      </c>
      <c r="L9" t="s">
        <v>1083</v>
      </c>
      <c r="T9" s="29">
        <v>1437</v>
      </c>
      <c r="U9" s="29">
        <v>6806</v>
      </c>
      <c r="V9" s="29">
        <v>1804</v>
      </c>
      <c r="W9" s="29">
        <v>10047</v>
      </c>
      <c r="Y9" s="7" t="b">
        <f t="shared" si="1"/>
        <v>0</v>
      </c>
      <c r="AA9" s="34" t="str">
        <f>HYPERLINK("#일위대가_산근!A339","HEBB0062 →")</f>
        <v>HEBB0062 →</v>
      </c>
    </row>
    <row r="10" spans="1:27" ht="18" customHeight="1">
      <c r="A10" s="11" t="s">
        <v>1006</v>
      </c>
      <c r="B10" s="2" t="s">
        <v>858</v>
      </c>
      <c r="C10" s="2">
        <v>1</v>
      </c>
      <c r="D10" s="2" t="s">
        <v>993</v>
      </c>
      <c r="E10" s="29">
        <f t="shared" si="0"/>
        <v>0</v>
      </c>
      <c r="F10" s="29">
        <f>일위대가_산근!C362</f>
        <v>0</v>
      </c>
      <c r="G10" s="29">
        <f>일위대가_산근!D362</f>
        <v>0</v>
      </c>
      <c r="H10" s="29">
        <f>일위대가_산근!E362</f>
        <v>0</v>
      </c>
      <c r="I10" s="20" t="s">
        <v>1126</v>
      </c>
      <c r="K10" t="s">
        <v>409</v>
      </c>
      <c r="L10" t="s">
        <v>1083</v>
      </c>
      <c r="T10" s="29">
        <v>8240</v>
      </c>
      <c r="U10" s="29">
        <v>74977</v>
      </c>
      <c r="V10" s="29">
        <v>7317</v>
      </c>
      <c r="W10" s="29">
        <v>90534</v>
      </c>
      <c r="Y10" s="7" t="b">
        <f t="shared" si="1"/>
        <v>0</v>
      </c>
      <c r="AA10" s="34" t="str">
        <f>HYPERLINK("#일위대가_산근!A362","K0000520 →")</f>
        <v>K0000520 →</v>
      </c>
    </row>
    <row r="11" spans="1:27" ht="18" customHeight="1">
      <c r="A11" s="11" t="s">
        <v>184</v>
      </c>
      <c r="B11" s="2" t="s">
        <v>850</v>
      </c>
      <c r="C11" s="2">
        <v>1</v>
      </c>
      <c r="D11" s="2" t="s">
        <v>757</v>
      </c>
      <c r="E11" s="29">
        <f t="shared" si="0"/>
        <v>0</v>
      </c>
      <c r="F11" s="29">
        <f>일위대가_산근!C464</f>
        <v>0</v>
      </c>
      <c r="G11" s="29">
        <f>일위대가_산근!D464</f>
        <v>0</v>
      </c>
      <c r="H11" s="29">
        <f>일위대가_산근!E464</f>
        <v>0</v>
      </c>
      <c r="I11" s="20" t="s">
        <v>1297</v>
      </c>
      <c r="K11" t="s">
        <v>765</v>
      </c>
      <c r="L11" t="s">
        <v>1083</v>
      </c>
      <c r="T11" s="29">
        <v>711</v>
      </c>
      <c r="U11" s="29">
        <v>1980</v>
      </c>
      <c r="V11" s="29">
        <v>0</v>
      </c>
      <c r="W11" s="29">
        <v>2691</v>
      </c>
      <c r="Y11" s="7" t="b">
        <f t="shared" si="1"/>
        <v>0</v>
      </c>
      <c r="AA11" s="34" t="str">
        <f>HYPERLINK("#일위대가_산근!A464","TBA0A003 →")</f>
        <v>TBA0A003 →</v>
      </c>
    </row>
    <row r="12" spans="1:27" ht="18" customHeight="1">
      <c r="A12" s="11" t="s">
        <v>964</v>
      </c>
      <c r="B12" s="2" t="s">
        <v>195</v>
      </c>
      <c r="C12" s="2">
        <v>1</v>
      </c>
      <c r="D12" s="2" t="s">
        <v>1025</v>
      </c>
      <c r="E12" s="29">
        <f t="shared" si="0"/>
        <v>0</v>
      </c>
      <c r="F12" s="29">
        <f>일위대가_산근!C487</f>
        <v>0</v>
      </c>
      <c r="G12" s="29">
        <f>일위대가_산근!D487</f>
        <v>0</v>
      </c>
      <c r="H12" s="29">
        <f>일위대가_산근!E487</f>
        <v>0</v>
      </c>
      <c r="I12" s="20" t="s">
        <v>1297</v>
      </c>
      <c r="K12" t="s">
        <v>457</v>
      </c>
      <c r="L12" t="s">
        <v>1083</v>
      </c>
      <c r="T12" s="29">
        <v>0</v>
      </c>
      <c r="U12" s="29">
        <v>0</v>
      </c>
      <c r="V12" s="29">
        <v>294586</v>
      </c>
      <c r="W12" s="29">
        <v>294586</v>
      </c>
      <c r="Y12" s="7" t="b">
        <f t="shared" si="1"/>
        <v>0</v>
      </c>
      <c r="AA12" s="34" t="str">
        <f>HYPERLINK("#일위대가_산근!A487","WB000000 →")</f>
        <v>WB000000 →</v>
      </c>
    </row>
    <row r="13" spans="1:27" ht="18" customHeight="1">
      <c r="A13" s="11" t="s">
        <v>887</v>
      </c>
      <c r="B13" s="2" t="s">
        <v>904</v>
      </c>
      <c r="C13" s="2">
        <v>1</v>
      </c>
      <c r="D13" s="2" t="s">
        <v>426</v>
      </c>
      <c r="E13" s="29">
        <f t="shared" si="0"/>
        <v>0</v>
      </c>
      <c r="F13" s="29">
        <f>일위대가_산근!C574</f>
        <v>0</v>
      </c>
      <c r="G13" s="29">
        <f>일위대가_산근!D574</f>
        <v>0</v>
      </c>
      <c r="H13" s="29">
        <f>일위대가_산근!E574</f>
        <v>0</v>
      </c>
      <c r="I13" s="20" t="s">
        <v>1297</v>
      </c>
      <c r="K13" t="s">
        <v>212</v>
      </c>
      <c r="L13" t="s">
        <v>1083</v>
      </c>
      <c r="T13" s="29">
        <v>0</v>
      </c>
      <c r="U13" s="29">
        <v>0</v>
      </c>
      <c r="V13" s="29">
        <v>10827</v>
      </c>
      <c r="W13" s="29">
        <v>10827</v>
      </c>
      <c r="Y13" s="7" t="b">
        <f t="shared" si="1"/>
        <v>0</v>
      </c>
      <c r="AA13" s="34" t="str">
        <f>HYPERLINK("#일위대가_산근!A574","WE0A0700 →")</f>
        <v>WE0A0700 →</v>
      </c>
    </row>
    <row r="14" spans="1:27" ht="18" customHeight="1">
      <c r="A14" s="11" t="s">
        <v>91</v>
      </c>
      <c r="B14" s="2" t="s">
        <v>250</v>
      </c>
      <c r="C14" s="2">
        <v>1</v>
      </c>
      <c r="D14" s="2" t="s">
        <v>426</v>
      </c>
      <c r="E14" s="29">
        <f t="shared" si="0"/>
        <v>0</v>
      </c>
      <c r="F14" s="29">
        <f>일위대가_산근!C593</f>
        <v>0</v>
      </c>
      <c r="G14" s="29">
        <f>일위대가_산근!D593</f>
        <v>0</v>
      </c>
      <c r="H14" s="29">
        <f>일위대가_산근!E593</f>
        <v>0</v>
      </c>
      <c r="I14" s="20" t="s">
        <v>1297</v>
      </c>
      <c r="K14" t="s">
        <v>635</v>
      </c>
      <c r="L14" t="s">
        <v>1083</v>
      </c>
      <c r="T14" s="29">
        <v>2093</v>
      </c>
      <c r="U14" s="29">
        <v>5445</v>
      </c>
      <c r="V14" s="29">
        <v>1241</v>
      </c>
      <c r="W14" s="29">
        <v>8779</v>
      </c>
      <c r="Y14" s="7" t="b">
        <f t="shared" si="1"/>
        <v>0</v>
      </c>
      <c r="AA14" s="34" t="str">
        <f>HYPERLINK("#일위대가_산근!A593","SA07600 →")</f>
        <v>SA07600 →</v>
      </c>
    </row>
    <row r="15" spans="1:27" ht="18" customHeight="1">
      <c r="A15" s="11" t="s">
        <v>878</v>
      </c>
      <c r="B15" s="2" t="s">
        <v>841</v>
      </c>
      <c r="C15" s="2">
        <v>1</v>
      </c>
      <c r="D15" s="2" t="s">
        <v>466</v>
      </c>
      <c r="E15" s="29">
        <f t="shared" si="0"/>
        <v>0</v>
      </c>
      <c r="F15" s="29">
        <f>일위대가_산근!C626</f>
        <v>0</v>
      </c>
      <c r="G15" s="29">
        <f>일위대가_산근!D626</f>
        <v>0</v>
      </c>
      <c r="H15" s="29">
        <f>일위대가_산근!E626</f>
        <v>0</v>
      </c>
      <c r="I15" s="20" t="s">
        <v>1297</v>
      </c>
      <c r="K15" t="s">
        <v>1289</v>
      </c>
      <c r="L15" t="s">
        <v>1083</v>
      </c>
      <c r="T15" s="29">
        <v>0</v>
      </c>
      <c r="U15" s="29">
        <v>495150</v>
      </c>
      <c r="V15" s="29">
        <v>0</v>
      </c>
      <c r="W15" s="29">
        <v>495150</v>
      </c>
      <c r="Y15" s="7" t="b">
        <f t="shared" si="1"/>
        <v>0</v>
      </c>
      <c r="AA15" s="34" t="str">
        <f>HYPERLINK("#일위대가_산근!A626","H0001010 →")</f>
        <v>H0001010 →</v>
      </c>
    </row>
    <row r="16" spans="1:27" ht="18" customHeight="1">
      <c r="A16" s="11" t="s">
        <v>985</v>
      </c>
      <c r="B16" s="2" t="s">
        <v>1018</v>
      </c>
      <c r="C16" s="2">
        <v>1</v>
      </c>
      <c r="D16" s="2" t="s">
        <v>940</v>
      </c>
      <c r="E16" s="29">
        <f t="shared" si="0"/>
        <v>0</v>
      </c>
      <c r="F16" s="29">
        <f>일위대가_산근!C654</f>
        <v>0</v>
      </c>
      <c r="G16" s="29">
        <f>일위대가_산근!D654</f>
        <v>0</v>
      </c>
      <c r="H16" s="29">
        <f>일위대가_산근!E654</f>
        <v>0</v>
      </c>
      <c r="I16" s="20" t="s">
        <v>1297</v>
      </c>
      <c r="K16" t="s">
        <v>830</v>
      </c>
      <c r="L16" t="s">
        <v>1083</v>
      </c>
      <c r="T16" s="29">
        <v>5580</v>
      </c>
      <c r="U16" s="29">
        <v>27183</v>
      </c>
      <c r="V16" s="29">
        <v>0</v>
      </c>
      <c r="W16" s="29">
        <v>32763</v>
      </c>
      <c r="Y16" s="7" t="b">
        <f t="shared" si="1"/>
        <v>0</v>
      </c>
      <c r="AA16" s="34" t="str">
        <f>HYPERLINK("#일위대가_산근!A654","SB03200 →")</f>
        <v>SB03200 →</v>
      </c>
    </row>
    <row r="17" spans="1:27" ht="18" customHeight="1">
      <c r="A17" s="11" t="s">
        <v>398</v>
      </c>
      <c r="B17" s="2" t="s">
        <v>1177</v>
      </c>
      <c r="C17" s="2">
        <v>1</v>
      </c>
      <c r="D17" s="2" t="s">
        <v>1025</v>
      </c>
      <c r="E17" s="29">
        <f t="shared" si="0"/>
        <v>0</v>
      </c>
      <c r="F17" s="29">
        <f>일위대가_호표!H4</f>
        <v>0</v>
      </c>
      <c r="G17" s="29">
        <f>일위대가_호표!J4</f>
        <v>0</v>
      </c>
      <c r="H17" s="29">
        <f>일위대가_호표!L4</f>
        <v>0</v>
      </c>
      <c r="I17" s="20" t="s">
        <v>1297</v>
      </c>
      <c r="K17" t="s">
        <v>1179</v>
      </c>
      <c r="L17" t="s">
        <v>802</v>
      </c>
      <c r="T17" s="29">
        <v>0</v>
      </c>
      <c r="U17" s="29">
        <v>0</v>
      </c>
      <c r="V17" s="29">
        <v>35053775</v>
      </c>
      <c r="W17" s="29">
        <v>35053775</v>
      </c>
      <c r="Y17" s="7" t="b">
        <f t="shared" si="1"/>
        <v>0</v>
      </c>
      <c r="AA17" s="34" t="str">
        <f>HYPERLINK("#일위대가_호표!A4","KSJSB0200 →")</f>
        <v>KSJSB0200 →</v>
      </c>
    </row>
    <row r="18" spans="1:27" ht="18" customHeight="1">
      <c r="A18" s="11" t="s">
        <v>840</v>
      </c>
      <c r="B18" s="2" t="s">
        <v>900</v>
      </c>
      <c r="C18" s="2">
        <v>1</v>
      </c>
      <c r="D18" s="2" t="s">
        <v>807</v>
      </c>
      <c r="E18" s="29">
        <f t="shared" si="0"/>
        <v>0</v>
      </c>
      <c r="F18" s="29">
        <f>일위대가_호표!H9</f>
        <v>0</v>
      </c>
      <c r="G18" s="29">
        <f>일위대가_호표!J9</f>
        <v>0</v>
      </c>
      <c r="H18" s="29">
        <f>일위대가_호표!L9</f>
        <v>0</v>
      </c>
      <c r="I18" s="20" t="s">
        <v>1297</v>
      </c>
      <c r="K18" t="s">
        <v>672</v>
      </c>
      <c r="L18" t="s">
        <v>802</v>
      </c>
      <c r="T18" s="29">
        <v>330653</v>
      </c>
      <c r="U18" s="29">
        <v>202705</v>
      </c>
      <c r="V18" s="29">
        <v>14479</v>
      </c>
      <c r="W18" s="29">
        <v>547837</v>
      </c>
      <c r="Y18" s="7" t="b">
        <f t="shared" si="1"/>
        <v>0</v>
      </c>
      <c r="AA18" s="34" t="str">
        <f>HYPERLINK("#일위대가_호표!A9","KAAJA2510 →")</f>
        <v>KAAJA2510 →</v>
      </c>
    </row>
    <row r="19" spans="1:27" ht="18" customHeight="1">
      <c r="A19" s="11" t="s">
        <v>58</v>
      </c>
      <c r="B19" s="2" t="s">
        <v>821</v>
      </c>
      <c r="C19" s="2">
        <v>1</v>
      </c>
      <c r="D19" s="2" t="s">
        <v>807</v>
      </c>
      <c r="E19" s="29">
        <f t="shared" si="0"/>
        <v>0</v>
      </c>
      <c r="F19" s="29">
        <f>일위대가_호표!H21</f>
        <v>0</v>
      </c>
      <c r="G19" s="29">
        <f>일위대가_호표!J21</f>
        <v>0</v>
      </c>
      <c r="H19" s="29">
        <f>일위대가_호표!L21</f>
        <v>0</v>
      </c>
      <c r="I19" s="20" t="s">
        <v>1297</v>
      </c>
      <c r="K19" t="s">
        <v>35</v>
      </c>
      <c r="L19" t="s">
        <v>802</v>
      </c>
      <c r="T19" s="29">
        <v>364379</v>
      </c>
      <c r="U19" s="29">
        <v>198952</v>
      </c>
      <c r="V19" s="29">
        <v>15120</v>
      </c>
      <c r="W19" s="29">
        <v>578451</v>
      </c>
      <c r="Y19" s="7" t="b">
        <f t="shared" si="1"/>
        <v>0</v>
      </c>
      <c r="AA19" s="34" t="str">
        <f>HYPERLINK("#일위대가_호표!A21","KAAJA2515 →")</f>
        <v>KAAJA2515 →</v>
      </c>
    </row>
    <row r="20" spans="1:27" ht="18" customHeight="1">
      <c r="A20" s="11" t="s">
        <v>772</v>
      </c>
      <c r="B20" s="2" t="s">
        <v>1073</v>
      </c>
      <c r="C20" s="2">
        <v>1</v>
      </c>
      <c r="D20" s="2" t="s">
        <v>807</v>
      </c>
      <c r="E20" s="29">
        <f t="shared" si="0"/>
        <v>0</v>
      </c>
      <c r="F20" s="29">
        <f>일위대가_호표!H34</f>
        <v>0</v>
      </c>
      <c r="G20" s="29">
        <f>일위대가_호표!J34</f>
        <v>0</v>
      </c>
      <c r="H20" s="29">
        <f>일위대가_호표!L34</f>
        <v>0</v>
      </c>
      <c r="I20" s="20" t="s">
        <v>1297</v>
      </c>
      <c r="K20" t="s">
        <v>363</v>
      </c>
      <c r="L20" t="s">
        <v>802</v>
      </c>
      <c r="T20" s="29">
        <v>385683</v>
      </c>
      <c r="U20" s="29">
        <v>203257</v>
      </c>
      <c r="V20" s="29">
        <v>15522</v>
      </c>
      <c r="W20" s="29">
        <v>604462</v>
      </c>
      <c r="Y20" s="7" t="b">
        <f t="shared" si="1"/>
        <v>0</v>
      </c>
      <c r="AA20" s="34" t="str">
        <f>HYPERLINK("#일위대가_호표!A34","KAAJA2520 →")</f>
        <v>KAAJA2520 →</v>
      </c>
    </row>
    <row r="21" spans="1:27" ht="18" customHeight="1">
      <c r="A21" s="11" t="s">
        <v>270</v>
      </c>
      <c r="B21" s="2" t="s">
        <v>241</v>
      </c>
      <c r="C21" s="2">
        <v>1</v>
      </c>
      <c r="D21" s="2" t="s">
        <v>807</v>
      </c>
      <c r="E21" s="29">
        <f t="shared" si="0"/>
        <v>0</v>
      </c>
      <c r="F21" s="29">
        <f>일위대가_호표!H47</f>
        <v>0</v>
      </c>
      <c r="G21" s="29">
        <f>일위대가_호표!J47</f>
        <v>0</v>
      </c>
      <c r="H21" s="29">
        <f>일위대가_호표!L47</f>
        <v>0</v>
      </c>
      <c r="I21" s="20" t="s">
        <v>1297</v>
      </c>
      <c r="K21" t="s">
        <v>1243</v>
      </c>
      <c r="L21" t="s">
        <v>802</v>
      </c>
      <c r="T21" s="29">
        <v>421</v>
      </c>
      <c r="U21" s="29">
        <v>21060</v>
      </c>
      <c r="V21" s="29">
        <v>0</v>
      </c>
      <c r="W21" s="29">
        <v>21481</v>
      </c>
      <c r="Y21" s="7" t="b">
        <f t="shared" si="1"/>
        <v>0</v>
      </c>
      <c r="AA21" s="34" t="str">
        <f>HYPERLINK("#일위대가_호표!A47","KAABA0100 →")</f>
        <v>KAABA0100 →</v>
      </c>
    </row>
    <row r="22" spans="1:27" ht="18" customHeight="1">
      <c r="A22" s="11" t="s">
        <v>127</v>
      </c>
      <c r="B22" s="2" t="s">
        <v>332</v>
      </c>
      <c r="C22" s="2">
        <v>1</v>
      </c>
      <c r="D22" s="2" t="s">
        <v>617</v>
      </c>
      <c r="E22" s="29">
        <f t="shared" si="0"/>
        <v>0</v>
      </c>
      <c r="F22" s="29">
        <f>일위대가_호표!H53</f>
        <v>0</v>
      </c>
      <c r="G22" s="29">
        <f>일위대가_호표!J53</f>
        <v>0</v>
      </c>
      <c r="H22" s="29">
        <f>일위대가_호표!L53</f>
        <v>0</v>
      </c>
      <c r="I22" s="20" t="s">
        <v>1297</v>
      </c>
      <c r="K22" t="s">
        <v>886</v>
      </c>
      <c r="L22" t="s">
        <v>802</v>
      </c>
      <c r="T22" s="29">
        <v>5179</v>
      </c>
      <c r="U22" s="29">
        <v>46866</v>
      </c>
      <c r="V22" s="29">
        <v>4318</v>
      </c>
      <c r="W22" s="29">
        <v>56363</v>
      </c>
      <c r="Y22" s="7" t="b">
        <f t="shared" si="1"/>
        <v>0</v>
      </c>
      <c r="AA22" s="34" t="str">
        <f>HYPERLINK("#일위대가_호표!A53","KSJSB0100 →")</f>
        <v>KSJSB0100 →</v>
      </c>
    </row>
    <row r="23" spans="1:27" ht="18" customHeight="1">
      <c r="A23" s="11" t="s">
        <v>350</v>
      </c>
      <c r="B23" s="2" t="s">
        <v>642</v>
      </c>
      <c r="C23" s="2">
        <v>1</v>
      </c>
      <c r="D23" s="2" t="s">
        <v>807</v>
      </c>
      <c r="E23" s="29">
        <f t="shared" si="0"/>
        <v>0</v>
      </c>
      <c r="F23" s="29">
        <f>일위대가_호표!H60</f>
        <v>0</v>
      </c>
      <c r="G23" s="29">
        <f>일위대가_호표!J60</f>
        <v>0</v>
      </c>
      <c r="H23" s="29">
        <f>일위대가_호표!L60</f>
        <v>0</v>
      </c>
      <c r="I23" s="20" t="s">
        <v>1297</v>
      </c>
      <c r="K23" t="s">
        <v>1078</v>
      </c>
      <c r="L23" t="s">
        <v>802</v>
      </c>
      <c r="T23" s="29">
        <v>6605</v>
      </c>
      <c r="U23" s="29">
        <v>24296</v>
      </c>
      <c r="V23" s="29">
        <v>6642</v>
      </c>
      <c r="W23" s="29">
        <v>37543</v>
      </c>
      <c r="Y23" s="7" t="b">
        <f t="shared" si="1"/>
        <v>0</v>
      </c>
      <c r="AA23" s="34" t="str">
        <f>HYPERLINK("#일위대가_호표!A60","KPDCIP0103 →")</f>
        <v>KPDCIP0103 →</v>
      </c>
    </row>
    <row r="24" spans="1:27" ht="18" customHeight="1">
      <c r="A24" s="11" t="s">
        <v>394</v>
      </c>
      <c r="B24" s="2" t="s">
        <v>241</v>
      </c>
      <c r="C24" s="2">
        <v>1</v>
      </c>
      <c r="D24" s="2" t="s">
        <v>807</v>
      </c>
      <c r="E24" s="29">
        <f t="shared" si="0"/>
        <v>0</v>
      </c>
      <c r="F24" s="29">
        <f>일위대가_호표!H66</f>
        <v>0</v>
      </c>
      <c r="G24" s="29">
        <f>일위대가_호표!J66</f>
        <v>0</v>
      </c>
      <c r="H24" s="29">
        <f>일위대가_호표!L66</f>
        <v>0</v>
      </c>
      <c r="I24" s="20" t="s">
        <v>1297</v>
      </c>
      <c r="K24" t="s">
        <v>579</v>
      </c>
      <c r="L24" t="s">
        <v>802</v>
      </c>
      <c r="T24" s="29">
        <v>0</v>
      </c>
      <c r="U24" s="29">
        <v>36452</v>
      </c>
      <c r="V24" s="29">
        <v>1822</v>
      </c>
      <c r="W24" s="29">
        <v>38274</v>
      </c>
      <c r="Y24" s="7" t="b">
        <f t="shared" si="1"/>
        <v>0</v>
      </c>
      <c r="AA24" s="34" t="str">
        <f>HYPERLINK("#일위대가_호표!A66","KPDCIP0104 →")</f>
        <v>KPDCIP0104 →</v>
      </c>
    </row>
    <row r="25" spans="1:27" ht="18" customHeight="1">
      <c r="A25" s="11" t="s">
        <v>714</v>
      </c>
      <c r="B25" s="2" t="s">
        <v>241</v>
      </c>
      <c r="C25" s="2">
        <v>1</v>
      </c>
      <c r="D25" s="2" t="s">
        <v>807</v>
      </c>
      <c r="E25" s="29">
        <f t="shared" si="0"/>
        <v>0</v>
      </c>
      <c r="F25" s="29">
        <f>일위대가_호표!H72</f>
        <v>0</v>
      </c>
      <c r="G25" s="29">
        <f>일위대가_호표!J72</f>
        <v>0</v>
      </c>
      <c r="H25" s="29">
        <f>일위대가_호표!L72</f>
        <v>0</v>
      </c>
      <c r="I25" s="20" t="s">
        <v>1297</v>
      </c>
      <c r="K25" t="s">
        <v>315</v>
      </c>
      <c r="L25" t="s">
        <v>802</v>
      </c>
      <c r="T25" s="29">
        <v>232</v>
      </c>
      <c r="U25" s="29">
        <v>15093</v>
      </c>
      <c r="V25" s="29">
        <v>0</v>
      </c>
      <c r="W25" s="29">
        <v>15325</v>
      </c>
      <c r="Y25" s="7" t="b">
        <f t="shared" si="1"/>
        <v>0</v>
      </c>
      <c r="AA25" s="34" t="str">
        <f>HYPERLINK("#일위대가_호표!A72","KPDCIP0102 →")</f>
        <v>KPDCIP0102 →</v>
      </c>
    </row>
    <row r="26" spans="1:27" ht="18" customHeight="1">
      <c r="A26" s="11" t="s">
        <v>705</v>
      </c>
      <c r="B26" s="2" t="s">
        <v>632</v>
      </c>
      <c r="C26" s="2">
        <v>1</v>
      </c>
      <c r="D26" s="2" t="s">
        <v>807</v>
      </c>
      <c r="E26" s="29">
        <f t="shared" si="0"/>
        <v>0</v>
      </c>
      <c r="F26" s="29">
        <f>일위대가_호표!H79</f>
        <v>0</v>
      </c>
      <c r="G26" s="29">
        <f>일위대가_호표!J79</f>
        <v>0</v>
      </c>
      <c r="H26" s="29">
        <f>일위대가_호표!L79</f>
        <v>0</v>
      </c>
      <c r="I26" s="20" t="s">
        <v>1297</v>
      </c>
      <c r="K26" t="s">
        <v>845</v>
      </c>
      <c r="L26" t="s">
        <v>802</v>
      </c>
      <c r="T26" s="29">
        <v>388220</v>
      </c>
      <c r="U26" s="29">
        <v>46446</v>
      </c>
      <c r="V26" s="29">
        <v>0</v>
      </c>
      <c r="W26" s="29">
        <v>434666</v>
      </c>
      <c r="Y26" s="7" t="b">
        <f t="shared" si="1"/>
        <v>0</v>
      </c>
      <c r="AA26" s="34" t="str">
        <f>HYPERLINK("#일위대가_호표!A79","YD00360 →")</f>
        <v>YD00360 →</v>
      </c>
    </row>
    <row r="27" spans="1:27" ht="18" customHeight="1">
      <c r="A27" s="11" t="s">
        <v>362</v>
      </c>
      <c r="B27" s="2" t="s">
        <v>107</v>
      </c>
      <c r="C27" s="2">
        <v>1</v>
      </c>
      <c r="D27" s="2" t="s">
        <v>580</v>
      </c>
      <c r="E27" s="29">
        <f t="shared" si="0"/>
        <v>0</v>
      </c>
      <c r="F27" s="29">
        <f>일위대가_호표!H86</f>
        <v>0</v>
      </c>
      <c r="G27" s="29">
        <f>일위대가_호표!J86</f>
        <v>0</v>
      </c>
      <c r="H27" s="29">
        <f>일위대가_호표!L86</f>
        <v>0</v>
      </c>
      <c r="I27" s="20" t="s">
        <v>1297</v>
      </c>
      <c r="K27" t="s">
        <v>851</v>
      </c>
      <c r="L27" t="s">
        <v>802</v>
      </c>
      <c r="T27" s="29">
        <v>0</v>
      </c>
      <c r="U27" s="29">
        <v>847848</v>
      </c>
      <c r="V27" s="29">
        <v>0</v>
      </c>
      <c r="W27" s="29">
        <v>847848</v>
      </c>
      <c r="Y27" s="7" t="b">
        <f t="shared" si="1"/>
        <v>0</v>
      </c>
      <c r="AA27" s="34" t="str">
        <f>HYPERLINK("#일위대가_호표!A86","KSJSB0104 →")</f>
        <v>KSJSB0104 →</v>
      </c>
    </row>
    <row r="28" spans="1:27" ht="18" customHeight="1">
      <c r="A28" s="11" t="s">
        <v>806</v>
      </c>
      <c r="B28" s="2" t="s">
        <v>240</v>
      </c>
      <c r="C28" s="2">
        <v>1</v>
      </c>
      <c r="D28" s="2" t="s">
        <v>580</v>
      </c>
      <c r="E28" s="29">
        <f t="shared" si="0"/>
        <v>0</v>
      </c>
      <c r="F28" s="29">
        <f>일위대가_호표!H90</f>
        <v>0</v>
      </c>
      <c r="G28" s="29">
        <f>일위대가_호표!J90</f>
        <v>0</v>
      </c>
      <c r="H28" s="29">
        <f>일위대가_호표!L90</f>
        <v>0</v>
      </c>
      <c r="I28" s="20" t="s">
        <v>1297</v>
      </c>
      <c r="K28" t="s">
        <v>785</v>
      </c>
      <c r="L28" t="s">
        <v>802</v>
      </c>
      <c r="T28" s="29">
        <v>0</v>
      </c>
      <c r="U28" s="29">
        <v>324016</v>
      </c>
      <c r="V28" s="29">
        <v>0</v>
      </c>
      <c r="W28" s="29">
        <v>324016</v>
      </c>
      <c r="Y28" s="7" t="b">
        <f t="shared" si="1"/>
        <v>0</v>
      </c>
      <c r="AA28" s="34" t="str">
        <f>HYPERLINK("#일위대가_호표!A90","KSJSB0102 →")</f>
        <v>KSJSB0102 →</v>
      </c>
    </row>
    <row r="29" spans="1:27" ht="18" customHeight="1">
      <c r="A29" s="11" t="s">
        <v>974</v>
      </c>
      <c r="B29" s="2" t="s">
        <v>1297</v>
      </c>
      <c r="C29" s="2">
        <v>1</v>
      </c>
      <c r="D29" s="2" t="s">
        <v>926</v>
      </c>
      <c r="E29" s="29">
        <f t="shared" si="0"/>
        <v>0</v>
      </c>
      <c r="F29" s="29">
        <f>일위대가_호표!H93</f>
        <v>0</v>
      </c>
      <c r="G29" s="29">
        <f>일위대가_호표!J93</f>
        <v>0</v>
      </c>
      <c r="H29" s="29">
        <f>일위대가_호표!L93</f>
        <v>0</v>
      </c>
      <c r="I29" s="20" t="s">
        <v>1297</v>
      </c>
      <c r="K29" t="s">
        <v>1242</v>
      </c>
      <c r="L29" t="s">
        <v>802</v>
      </c>
      <c r="T29" s="29">
        <v>182030</v>
      </c>
      <c r="U29" s="29">
        <v>158051</v>
      </c>
      <c r="V29" s="29">
        <v>0</v>
      </c>
      <c r="W29" s="29">
        <v>340081</v>
      </c>
      <c r="Y29" s="7" t="b">
        <f t="shared" si="1"/>
        <v>0</v>
      </c>
      <c r="AA29" s="34" t="str">
        <f>HYPERLINK("#일위대가_호표!A93","SOE5700 →")</f>
        <v>SOE5700 →</v>
      </c>
    </row>
    <row r="30" spans="1:27" ht="18" customHeight="1">
      <c r="A30" s="11" t="s">
        <v>470</v>
      </c>
      <c r="B30" s="2" t="s">
        <v>120</v>
      </c>
      <c r="C30" s="2">
        <v>1</v>
      </c>
      <c r="D30" s="2" t="s">
        <v>807</v>
      </c>
      <c r="E30" s="29">
        <f t="shared" si="0"/>
        <v>0</v>
      </c>
      <c r="F30" s="29">
        <f>일위대가_호표!H99</f>
        <v>0</v>
      </c>
      <c r="G30" s="29">
        <f>일위대가_호표!J99</f>
        <v>0</v>
      </c>
      <c r="H30" s="29">
        <f>일위대가_호표!L99</f>
        <v>0</v>
      </c>
      <c r="I30" s="20" t="s">
        <v>1297</v>
      </c>
      <c r="K30" t="s">
        <v>608</v>
      </c>
      <c r="L30" t="s">
        <v>802</v>
      </c>
      <c r="T30" s="29">
        <v>21000</v>
      </c>
      <c r="U30" s="29">
        <v>1050</v>
      </c>
      <c r="V30" s="29">
        <v>0</v>
      </c>
      <c r="W30" s="29">
        <v>22050</v>
      </c>
      <c r="Y30" s="7" t="b">
        <f t="shared" si="1"/>
        <v>0</v>
      </c>
      <c r="AA30" s="34" t="str">
        <f>HYPERLINK("#일위대가_호표!A99","TB0A0003 →")</f>
        <v>TB0A0003 →</v>
      </c>
    </row>
    <row r="31" spans="1:27" ht="18" customHeight="1">
      <c r="A31" s="11" t="s">
        <v>133</v>
      </c>
      <c r="B31" s="2" t="s">
        <v>856</v>
      </c>
      <c r="C31" s="2">
        <v>1</v>
      </c>
      <c r="D31" s="2" t="s">
        <v>807</v>
      </c>
      <c r="E31" s="29">
        <f t="shared" si="0"/>
        <v>0</v>
      </c>
      <c r="F31" s="29">
        <f>일위대가_호표!H104</f>
        <v>0</v>
      </c>
      <c r="G31" s="29">
        <f>일위대가_호표!J104</f>
        <v>0</v>
      </c>
      <c r="H31" s="29">
        <f>일위대가_호표!L104</f>
        <v>0</v>
      </c>
      <c r="I31" s="20" t="s">
        <v>1297</v>
      </c>
      <c r="K31" t="s">
        <v>1093</v>
      </c>
      <c r="L31" t="s">
        <v>802</v>
      </c>
      <c r="T31" s="29">
        <v>33000</v>
      </c>
      <c r="U31" s="29">
        <v>1650</v>
      </c>
      <c r="V31" s="29">
        <v>0</v>
      </c>
      <c r="W31" s="29">
        <v>34650</v>
      </c>
      <c r="Y31" s="7" t="b">
        <f t="shared" si="1"/>
        <v>0</v>
      </c>
      <c r="AA31" s="34" t="str">
        <f>HYPERLINK("#일위대가_호표!A104","TB0A0004 →")</f>
        <v>TB0A0004 →</v>
      </c>
    </row>
    <row r="32" spans="1:27" ht="18" customHeight="1">
      <c r="A32" s="11" t="s">
        <v>1185</v>
      </c>
      <c r="B32" s="2" t="s">
        <v>265</v>
      </c>
      <c r="C32" s="2">
        <v>1</v>
      </c>
      <c r="D32" s="2" t="s">
        <v>1067</v>
      </c>
      <c r="E32" s="29">
        <f t="shared" si="0"/>
        <v>0</v>
      </c>
      <c r="F32" s="29">
        <f>일위대가_호표!H109</f>
        <v>0</v>
      </c>
      <c r="G32" s="29">
        <f>일위대가_호표!J109</f>
        <v>0</v>
      </c>
      <c r="H32" s="29">
        <f>일위대가_호표!L109</f>
        <v>0</v>
      </c>
      <c r="I32" s="20" t="s">
        <v>1297</v>
      </c>
      <c r="K32" t="s">
        <v>259</v>
      </c>
      <c r="L32" t="s">
        <v>802</v>
      </c>
      <c r="T32" s="29">
        <v>0</v>
      </c>
      <c r="U32" s="29">
        <v>0</v>
      </c>
      <c r="V32" s="29">
        <v>18563</v>
      </c>
      <c r="W32" s="29">
        <v>18563</v>
      </c>
      <c r="Y32" s="7" t="b">
        <f t="shared" si="1"/>
        <v>0</v>
      </c>
      <c r="AA32" s="34" t="str">
        <f>HYPERLINK("#일위대가_호표!A109","TBC20020 →")</f>
        <v>TBC20020 →</v>
      </c>
    </row>
    <row r="33" spans="1:27" ht="18" customHeight="1">
      <c r="A33" s="13" t="s">
        <v>3</v>
      </c>
      <c r="B33" s="14" t="s">
        <v>90</v>
      </c>
      <c r="C33" s="14">
        <v>1</v>
      </c>
      <c r="D33" s="14" t="s">
        <v>940</v>
      </c>
      <c r="E33" s="31">
        <f t="shared" si="0"/>
        <v>0</v>
      </c>
      <c r="F33" s="31">
        <f>일위대가_호표!H113</f>
        <v>0</v>
      </c>
      <c r="G33" s="31">
        <f>일위대가_호표!J113</f>
        <v>0</v>
      </c>
      <c r="H33" s="31">
        <f>일위대가_호표!L113</f>
        <v>0</v>
      </c>
      <c r="I33" s="21" t="s">
        <v>1297</v>
      </c>
      <c r="K33" t="s">
        <v>78</v>
      </c>
      <c r="L33" t="s">
        <v>802</v>
      </c>
      <c r="T33" s="29">
        <v>64340</v>
      </c>
      <c r="U33" s="29">
        <v>51253</v>
      </c>
      <c r="V33" s="29">
        <v>0</v>
      </c>
      <c r="W33" s="29">
        <v>115593</v>
      </c>
      <c r="Y33" s="7" t="b">
        <f t="shared" si="1"/>
        <v>0</v>
      </c>
      <c r="AA33" s="34" t="str">
        <f>HYPERLINK("#일위대가_호표!A113","USCHE024 →")</f>
        <v>USCHE024 →</v>
      </c>
    </row>
  </sheetData>
  <sheetProtection/>
  <printOptions/>
  <pageMargins left="0.31496062992125984" right="0.31496062992125984" top="1" bottom="0.5905511811023622" header="0.5" footer="0.5"/>
  <pageSetup horizontalDpi="600" verticalDpi="600" orientation="portrait" paperSize="9"/>
  <headerFooter alignWithMargins="0">
    <oddHeader>&amp;RPage : 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I119"/>
  <sheetViews>
    <sheetView zoomScalePageLayoutView="0" workbookViewId="0" topLeftCell="A1">
      <selection activeCell="K4" sqref="K4:K119"/>
    </sheetView>
  </sheetViews>
  <sheetFormatPr defaultColWidth="9.33203125" defaultRowHeight="18" customHeight="1"/>
  <cols>
    <col min="1" max="1" width="25" style="0" customWidth="1"/>
    <col min="2" max="2" width="20" style="0" customWidth="1"/>
    <col min="3" max="3" width="8" style="0" customWidth="1"/>
    <col min="4" max="4" width="5" style="0" customWidth="1"/>
    <col min="5" max="12" width="13" style="0" customWidth="1"/>
    <col min="13" max="13" width="10" style="0" customWidth="1"/>
    <col min="14" max="59" width="0" style="0" hidden="1" customWidth="1"/>
  </cols>
  <sheetData>
    <row r="1" ht="18" customHeight="1">
      <c r="A1" t="s">
        <v>12</v>
      </c>
    </row>
    <row r="2" spans="1:13" ht="18" customHeight="1">
      <c r="A2" s="61" t="s">
        <v>216</v>
      </c>
      <c r="B2" s="58" t="s">
        <v>565</v>
      </c>
      <c r="C2" s="58" t="s">
        <v>744</v>
      </c>
      <c r="D2" s="58" t="s">
        <v>458</v>
      </c>
      <c r="E2" s="58" t="s">
        <v>1261</v>
      </c>
      <c r="F2" s="58" t="s">
        <v>1297</v>
      </c>
      <c r="G2" s="58" t="s">
        <v>884</v>
      </c>
      <c r="H2" s="58" t="s">
        <v>1297</v>
      </c>
      <c r="I2" s="58" t="s">
        <v>501</v>
      </c>
      <c r="J2" s="58" t="s">
        <v>1297</v>
      </c>
      <c r="K2" s="58" t="s">
        <v>93</v>
      </c>
      <c r="L2" s="58" t="s">
        <v>1297</v>
      </c>
      <c r="M2" s="59" t="s">
        <v>317</v>
      </c>
    </row>
    <row r="3" spans="1:25" ht="18" customHeight="1">
      <c r="A3" s="62" t="s">
        <v>1297</v>
      </c>
      <c r="B3" s="63" t="s">
        <v>1297</v>
      </c>
      <c r="C3" s="63" t="s">
        <v>1297</v>
      </c>
      <c r="D3" s="63" t="s">
        <v>1297</v>
      </c>
      <c r="E3" s="27" t="s">
        <v>292</v>
      </c>
      <c r="F3" s="27" t="s">
        <v>185</v>
      </c>
      <c r="G3" s="27" t="s">
        <v>292</v>
      </c>
      <c r="H3" s="27" t="s">
        <v>185</v>
      </c>
      <c r="I3" s="27" t="s">
        <v>292</v>
      </c>
      <c r="J3" s="27" t="s">
        <v>185</v>
      </c>
      <c r="K3" s="27" t="s">
        <v>292</v>
      </c>
      <c r="L3" s="27" t="s">
        <v>185</v>
      </c>
      <c r="M3" s="60" t="s">
        <v>1297</v>
      </c>
      <c r="S3" s="1" t="s">
        <v>406</v>
      </c>
      <c r="T3" s="1" t="s">
        <v>933</v>
      </c>
      <c r="U3" s="1" t="s">
        <v>431</v>
      </c>
      <c r="V3" s="1" t="s">
        <v>186</v>
      </c>
      <c r="W3" s="1" t="s">
        <v>77</v>
      </c>
      <c r="X3" s="1" t="s">
        <v>384</v>
      </c>
      <c r="Y3" s="1" t="s">
        <v>877</v>
      </c>
    </row>
    <row r="4" spans="1:15" ht="18" customHeight="1">
      <c r="A4" s="11" t="s">
        <v>360</v>
      </c>
      <c r="B4" s="2" t="s">
        <v>1177</v>
      </c>
      <c r="C4" s="2">
        <v>1</v>
      </c>
      <c r="D4" s="2" t="s">
        <v>1025</v>
      </c>
      <c r="F4" s="29">
        <f>H4+J4+L4</f>
        <v>0</v>
      </c>
      <c r="H4" s="29">
        <f>TRUNC(H5+H6+H7,0)</f>
        <v>0</v>
      </c>
      <c r="J4" s="29">
        <f>TRUNC(J5+J6+J7,0)</f>
        <v>0</v>
      </c>
      <c r="L4" s="29">
        <f>TRUNC(L5+L6+L7,0)</f>
        <v>0</v>
      </c>
      <c r="M4" s="20" t="s">
        <v>1297</v>
      </c>
      <c r="O4" t="s">
        <v>1179</v>
      </c>
    </row>
    <row r="5" spans="1:61" ht="18" customHeight="1">
      <c r="A5" s="11" t="s">
        <v>1225</v>
      </c>
      <c r="B5" s="2" t="s">
        <v>1190</v>
      </c>
      <c r="C5" s="2">
        <v>1</v>
      </c>
      <c r="D5" s="2" t="s">
        <v>807</v>
      </c>
      <c r="E5" s="29">
        <f>G5+I5+K5</f>
        <v>0</v>
      </c>
      <c r="F5" s="29">
        <f>H5+J5+L5</f>
        <v>0</v>
      </c>
      <c r="G5" s="29"/>
      <c r="H5" s="29">
        <f>TRUNC(G5*C5,0)</f>
        <v>0</v>
      </c>
      <c r="I5" s="29"/>
      <c r="J5" s="29">
        <f>TRUNC(I5*C5,0)</f>
        <v>0</v>
      </c>
      <c r="K5" s="29"/>
      <c r="L5" s="29">
        <f>TRUNC(K5*C5,0)</f>
        <v>0</v>
      </c>
      <c r="M5" s="20" t="s">
        <v>1297</v>
      </c>
      <c r="P5" t="s">
        <v>1113</v>
      </c>
      <c r="R5" t="s">
        <v>484</v>
      </c>
      <c r="BI5" s="34" t="str">
        <f>HYPERLINK("#경비!A5","G00040 →")</f>
        <v>G00040 →</v>
      </c>
    </row>
    <row r="6" spans="1:61" ht="18" customHeight="1">
      <c r="A6" s="11" t="s">
        <v>438</v>
      </c>
      <c r="B6" s="2" t="s">
        <v>1190</v>
      </c>
      <c r="C6" s="2">
        <v>3</v>
      </c>
      <c r="D6" s="2" t="s">
        <v>807</v>
      </c>
      <c r="E6" s="29">
        <f>G6+I6+K6</f>
        <v>0</v>
      </c>
      <c r="F6" s="29">
        <f>H6+J6+L6</f>
        <v>0</v>
      </c>
      <c r="G6" s="29"/>
      <c r="H6" s="29">
        <f>TRUNC(G6*C6,0)</f>
        <v>0</v>
      </c>
      <c r="I6" s="29"/>
      <c r="J6" s="29">
        <f>TRUNC(I6*C6,0)</f>
        <v>0</v>
      </c>
      <c r="K6" s="29"/>
      <c r="L6" s="29">
        <f>TRUNC(K6*C6,0)</f>
        <v>0</v>
      </c>
      <c r="M6" s="20" t="s">
        <v>1297</v>
      </c>
      <c r="P6" t="s">
        <v>789</v>
      </c>
      <c r="R6" t="s">
        <v>1151</v>
      </c>
      <c r="BI6" s="34" t="str">
        <f>HYPERLINK("#경비!A3","G00020 →")</f>
        <v>G00020 →</v>
      </c>
    </row>
    <row r="7" spans="1:61" ht="18" customHeight="1">
      <c r="A7" s="11" t="s">
        <v>1122</v>
      </c>
      <c r="B7" s="2" t="s">
        <v>1190</v>
      </c>
      <c r="C7" s="2">
        <v>1</v>
      </c>
      <c r="D7" s="2" t="s">
        <v>807</v>
      </c>
      <c r="E7" s="29">
        <f>G7+I7+K7</f>
        <v>0</v>
      </c>
      <c r="F7" s="29">
        <f>H7+J7+L7</f>
        <v>0</v>
      </c>
      <c r="G7" s="29"/>
      <c r="H7" s="29">
        <f>TRUNC(G7*C7,0)</f>
        <v>0</v>
      </c>
      <c r="I7" s="29"/>
      <c r="J7" s="29">
        <f>TRUNC(I7*C7,0)</f>
        <v>0</v>
      </c>
      <c r="K7" s="29"/>
      <c r="L7" s="29">
        <f>TRUNC(K7*C7,0)</f>
        <v>0</v>
      </c>
      <c r="M7" s="20" t="s">
        <v>1297</v>
      </c>
      <c r="P7" t="s">
        <v>450</v>
      </c>
      <c r="R7" t="s">
        <v>827</v>
      </c>
      <c r="BI7" s="34" t="str">
        <f>HYPERLINK("#경비!A4","G00030 →")</f>
        <v>G00030 →</v>
      </c>
    </row>
    <row r="8" spans="1:13" ht="18" customHeight="1">
      <c r="A8" s="5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56"/>
    </row>
    <row r="9" spans="1:30" ht="18" customHeight="1">
      <c r="A9" s="11" t="s">
        <v>443</v>
      </c>
      <c r="B9" s="2" t="s">
        <v>900</v>
      </c>
      <c r="C9" s="2">
        <v>1</v>
      </c>
      <c r="D9" s="2" t="s">
        <v>807</v>
      </c>
      <c r="F9" s="29">
        <f aca="true" t="shared" si="0" ref="F9:F19">H9+J9+L9</f>
        <v>0</v>
      </c>
      <c r="H9" s="29">
        <f>TRUNC(H10+H11+H12+H13+H14+H15+H16+H17+H18+H19,0)</f>
        <v>0</v>
      </c>
      <c r="J9" s="29">
        <f>TRUNC(J10+J11+J12+J13+J14+J15+J16+J17+J18+J19,0)</f>
        <v>0</v>
      </c>
      <c r="L9" s="29">
        <f>TRUNC(L10+L11+L12+L13+L14+L15+L16+L17+L18+L19,0)</f>
        <v>0</v>
      </c>
      <c r="M9" s="20" t="s">
        <v>1297</v>
      </c>
      <c r="O9" t="s">
        <v>672</v>
      </c>
      <c r="AA9" s="41" t="s">
        <v>491</v>
      </c>
      <c r="AB9" s="6">
        <v>0</v>
      </c>
      <c r="AC9" s="41" t="s">
        <v>491</v>
      </c>
      <c r="AD9" s="7">
        <f aca="true" t="shared" si="1" ref="AD9:AD16">$AB9</f>
        <v>0</v>
      </c>
    </row>
    <row r="10" spans="1:30" ht="18" customHeight="1">
      <c r="A10" s="11" t="s">
        <v>423</v>
      </c>
      <c r="B10" s="2" t="s">
        <v>615</v>
      </c>
      <c r="C10" s="2"/>
      <c r="D10" s="2" t="s">
        <v>1297</v>
      </c>
      <c r="E10" s="29">
        <f aca="true" t="shared" si="2" ref="E10:E19">G10+I10+K10</f>
        <v>0</v>
      </c>
      <c r="F10" s="29">
        <f t="shared" si="0"/>
        <v>0</v>
      </c>
      <c r="G10" s="1"/>
      <c r="H10" s="29">
        <v>0</v>
      </c>
      <c r="I10" s="1"/>
      <c r="J10" s="29">
        <v>0</v>
      </c>
      <c r="K10" s="1"/>
      <c r="L10" s="29">
        <v>0</v>
      </c>
      <c r="M10" s="20" t="s">
        <v>1297</v>
      </c>
      <c r="P10" t="s">
        <v>166</v>
      </c>
      <c r="R10" t="s">
        <v>1083</v>
      </c>
      <c r="X10" t="s">
        <v>739</v>
      </c>
      <c r="AA10" s="41" t="s">
        <v>1063</v>
      </c>
      <c r="AB10" s="6">
        <v>0</v>
      </c>
      <c r="AC10" s="41" t="s">
        <v>1063</v>
      </c>
      <c r="AD10" s="7">
        <f t="shared" si="1"/>
        <v>0</v>
      </c>
    </row>
    <row r="11" spans="1:61" ht="18" customHeight="1">
      <c r="A11" s="11" t="s">
        <v>581</v>
      </c>
      <c r="B11" s="2" t="s">
        <v>1297</v>
      </c>
      <c r="C11" s="2">
        <v>0.21</v>
      </c>
      <c r="D11" s="2" t="s">
        <v>1208</v>
      </c>
      <c r="E11" s="29">
        <f t="shared" si="2"/>
        <v>0</v>
      </c>
      <c r="F11" s="29">
        <f t="shared" si="0"/>
        <v>0</v>
      </c>
      <c r="G11" s="29"/>
      <c r="H11" s="29"/>
      <c r="I11" s="29"/>
      <c r="J11" s="29">
        <f>TRUNC(I11*C11,0)</f>
        <v>0</v>
      </c>
      <c r="K11" s="29"/>
      <c r="L11" s="29"/>
      <c r="M11" s="20" t="s">
        <v>1297</v>
      </c>
      <c r="P11" t="s">
        <v>1113</v>
      </c>
      <c r="R11" t="s">
        <v>134</v>
      </c>
      <c r="AA11" s="41" t="s">
        <v>678</v>
      </c>
      <c r="AB11" s="6">
        <v>0</v>
      </c>
      <c r="AC11" s="41" t="s">
        <v>678</v>
      </c>
      <c r="AD11" s="7">
        <f t="shared" si="1"/>
        <v>0</v>
      </c>
      <c r="BI11" s="34" t="str">
        <f>HYPERLINK("#노임!A6","L028 →")</f>
        <v>L028 →</v>
      </c>
    </row>
    <row r="12" spans="1:61" ht="18" customHeight="1">
      <c r="A12" s="11" t="s">
        <v>395</v>
      </c>
      <c r="B12" s="2" t="s">
        <v>1297</v>
      </c>
      <c r="C12" s="2">
        <v>0.1</v>
      </c>
      <c r="D12" s="2" t="s">
        <v>1208</v>
      </c>
      <c r="E12" s="29">
        <f t="shared" si="2"/>
        <v>0</v>
      </c>
      <c r="F12" s="29">
        <f t="shared" si="0"/>
        <v>0</v>
      </c>
      <c r="G12" s="29"/>
      <c r="H12" s="29"/>
      <c r="I12" s="29"/>
      <c r="J12" s="29">
        <f>TRUNC(I12*C12,0)</f>
        <v>0</v>
      </c>
      <c r="K12" s="29"/>
      <c r="L12" s="29"/>
      <c r="M12" s="20" t="s">
        <v>1297</v>
      </c>
      <c r="N12" t="s">
        <v>365</v>
      </c>
      <c r="P12" t="s">
        <v>789</v>
      </c>
      <c r="R12" t="s">
        <v>239</v>
      </c>
      <c r="AA12" s="41" t="s">
        <v>403</v>
      </c>
      <c r="AB12" s="8">
        <f>ROUND((일위대가_호표!J11+일위대가_호표!J12)*2/100,2)</f>
        <v>0</v>
      </c>
      <c r="AC12" s="41" t="s">
        <v>678</v>
      </c>
      <c r="AD12" s="7">
        <f t="shared" si="1"/>
        <v>0</v>
      </c>
      <c r="AE12" s="40" t="s">
        <v>864</v>
      </c>
      <c r="AF12" s="8">
        <f>ROUND(ROUND((일위대가_호표!J11+일위대가_호표!J12)*2/100,2),2)</f>
        <v>0</v>
      </c>
      <c r="AG12" s="40" t="s">
        <v>701</v>
      </c>
      <c r="AH12" s="7">
        <f>$AF12</f>
        <v>0</v>
      </c>
      <c r="BI12" s="34" t="str">
        <f>HYPERLINK("#노임!A10","L085 →")</f>
        <v>L085 →</v>
      </c>
    </row>
    <row r="13" spans="1:30" ht="18" customHeight="1">
      <c r="A13" s="11" t="s">
        <v>48</v>
      </c>
      <c r="B13" s="2" t="s">
        <v>207</v>
      </c>
      <c r="C13" s="2">
        <v>2</v>
      </c>
      <c r="D13" s="2" t="s">
        <v>266</v>
      </c>
      <c r="E13" s="29">
        <f t="shared" si="2"/>
        <v>0</v>
      </c>
      <c r="F13" s="29">
        <f t="shared" si="0"/>
        <v>0</v>
      </c>
      <c r="G13" s="1"/>
      <c r="H13" s="29">
        <v>0</v>
      </c>
      <c r="I13" s="1"/>
      <c r="J13" s="29">
        <v>0</v>
      </c>
      <c r="K13" s="1"/>
      <c r="L13" s="29">
        <f>TRUNC((ROUND((J11+J12)*2/100,2)),0)</f>
        <v>0</v>
      </c>
      <c r="M13" s="20" t="s">
        <v>1297</v>
      </c>
      <c r="P13" t="s">
        <v>139</v>
      </c>
      <c r="R13" t="s">
        <v>1083</v>
      </c>
      <c r="X13" t="s">
        <v>1253</v>
      </c>
      <c r="AA13" s="41" t="s">
        <v>491</v>
      </c>
      <c r="AB13" s="6">
        <v>0</v>
      </c>
      <c r="AC13" s="41" t="s">
        <v>491</v>
      </c>
      <c r="AD13" s="7">
        <f t="shared" si="1"/>
        <v>0</v>
      </c>
    </row>
    <row r="14" spans="1:30" ht="18" customHeight="1">
      <c r="A14" s="11" t="s">
        <v>122</v>
      </c>
      <c r="B14" s="2" t="s">
        <v>307</v>
      </c>
      <c r="C14" s="2"/>
      <c r="D14" s="2" t="s">
        <v>1297</v>
      </c>
      <c r="E14" s="29">
        <f t="shared" si="2"/>
        <v>0</v>
      </c>
      <c r="F14" s="29">
        <f t="shared" si="0"/>
        <v>0</v>
      </c>
      <c r="G14" s="1"/>
      <c r="H14" s="29">
        <v>0</v>
      </c>
      <c r="I14" s="1"/>
      <c r="J14" s="29">
        <v>0</v>
      </c>
      <c r="K14" s="1"/>
      <c r="L14" s="29">
        <v>0</v>
      </c>
      <c r="M14" s="20" t="s">
        <v>1297</v>
      </c>
      <c r="P14" t="s">
        <v>767</v>
      </c>
      <c r="R14" t="s">
        <v>1083</v>
      </c>
      <c r="X14" t="s">
        <v>760</v>
      </c>
      <c r="AA14" s="41" t="s">
        <v>1063</v>
      </c>
      <c r="AB14" s="6">
        <v>0</v>
      </c>
      <c r="AC14" s="41" t="s">
        <v>1063</v>
      </c>
      <c r="AD14" s="7">
        <f t="shared" si="1"/>
        <v>0</v>
      </c>
    </row>
    <row r="15" spans="1:61" ht="18" customHeight="1">
      <c r="A15" s="11" t="s">
        <v>581</v>
      </c>
      <c r="B15" s="2" t="s">
        <v>1297</v>
      </c>
      <c r="C15" s="2">
        <v>0.36</v>
      </c>
      <c r="D15" s="2" t="s">
        <v>1208</v>
      </c>
      <c r="E15" s="29">
        <f t="shared" si="2"/>
        <v>0</v>
      </c>
      <c r="F15" s="29">
        <f t="shared" si="0"/>
        <v>0</v>
      </c>
      <c r="G15" s="29"/>
      <c r="H15" s="29"/>
      <c r="I15" s="29"/>
      <c r="J15" s="29">
        <f>TRUNC(I15*C15,0)</f>
        <v>0</v>
      </c>
      <c r="K15" s="29"/>
      <c r="L15" s="29"/>
      <c r="M15" s="20" t="s">
        <v>1297</v>
      </c>
      <c r="P15" t="s">
        <v>437</v>
      </c>
      <c r="R15" t="s">
        <v>134</v>
      </c>
      <c r="AA15" s="41" t="s">
        <v>678</v>
      </c>
      <c r="AB15" s="6">
        <v>0</v>
      </c>
      <c r="AC15" s="41" t="s">
        <v>678</v>
      </c>
      <c r="AD15" s="7">
        <f t="shared" si="1"/>
        <v>0</v>
      </c>
      <c r="BI15" s="34" t="str">
        <f>HYPERLINK("#노임!A6","L028 →")</f>
        <v>L028 →</v>
      </c>
    </row>
    <row r="16" spans="1:61" ht="18" customHeight="1">
      <c r="A16" s="11" t="s">
        <v>395</v>
      </c>
      <c r="B16" s="2" t="s">
        <v>1297</v>
      </c>
      <c r="C16" s="2">
        <v>0.18</v>
      </c>
      <c r="D16" s="2" t="s">
        <v>1208</v>
      </c>
      <c r="E16" s="29">
        <f t="shared" si="2"/>
        <v>0</v>
      </c>
      <c r="F16" s="29">
        <f t="shared" si="0"/>
        <v>0</v>
      </c>
      <c r="G16" s="29"/>
      <c r="H16" s="29"/>
      <c r="I16" s="29"/>
      <c r="J16" s="29">
        <f>TRUNC(I16*C16,0)</f>
        <v>0</v>
      </c>
      <c r="K16" s="29"/>
      <c r="L16" s="29"/>
      <c r="M16" s="20" t="s">
        <v>1297</v>
      </c>
      <c r="N16" t="s">
        <v>365</v>
      </c>
      <c r="P16" t="s">
        <v>112</v>
      </c>
      <c r="R16" t="s">
        <v>239</v>
      </c>
      <c r="AA16" s="41" t="s">
        <v>403</v>
      </c>
      <c r="AB16" s="8">
        <f>ROUND((일위대가_호표!J11+일위대가_호표!J12)*4/100,2)</f>
        <v>0</v>
      </c>
      <c r="AC16" s="41" t="s">
        <v>678</v>
      </c>
      <c r="AD16" s="7">
        <f t="shared" si="1"/>
        <v>0</v>
      </c>
      <c r="AE16" s="40" t="s">
        <v>808</v>
      </c>
      <c r="AF16" s="8">
        <f>ROUND(ROUND((일위대가_호표!J11+일위대가_호표!J12)*4/100,2),2)</f>
        <v>0</v>
      </c>
      <c r="AG16" s="40" t="s">
        <v>576</v>
      </c>
      <c r="AH16" s="7">
        <f>$AF16</f>
        <v>0</v>
      </c>
      <c r="BI16" s="34" t="str">
        <f>HYPERLINK("#노임!A10","L085 →")</f>
        <v>L085 →</v>
      </c>
    </row>
    <row r="17" spans="1:24" ht="18" customHeight="1">
      <c r="A17" s="11" t="s">
        <v>593</v>
      </c>
      <c r="B17" s="2" t="s">
        <v>207</v>
      </c>
      <c r="C17" s="2">
        <v>4</v>
      </c>
      <c r="D17" s="2" t="s">
        <v>266</v>
      </c>
      <c r="E17" s="29">
        <f t="shared" si="2"/>
        <v>0</v>
      </c>
      <c r="F17" s="29">
        <f t="shared" si="0"/>
        <v>0</v>
      </c>
      <c r="G17" s="1"/>
      <c r="H17" s="29">
        <v>0</v>
      </c>
      <c r="I17" s="1"/>
      <c r="J17" s="29">
        <v>0</v>
      </c>
      <c r="K17" s="1"/>
      <c r="L17" s="29">
        <f>TRUNC((ROUND((J11+J12)*4/100,2)),0)</f>
        <v>0</v>
      </c>
      <c r="M17" s="20" t="s">
        <v>1297</v>
      </c>
      <c r="P17" t="s">
        <v>106</v>
      </c>
      <c r="R17" t="s">
        <v>1083</v>
      </c>
      <c r="X17" t="s">
        <v>558</v>
      </c>
    </row>
    <row r="18" spans="1:61" ht="18" customHeight="1">
      <c r="A18" s="11" t="s">
        <v>670</v>
      </c>
      <c r="B18" s="2" t="s">
        <v>149</v>
      </c>
      <c r="C18" s="2">
        <v>1.15</v>
      </c>
      <c r="D18" s="2" t="s">
        <v>1067</v>
      </c>
      <c r="E18" s="29">
        <f t="shared" si="2"/>
        <v>0</v>
      </c>
      <c r="F18" s="29">
        <f t="shared" si="0"/>
        <v>0</v>
      </c>
      <c r="G18" s="29"/>
      <c r="H18" s="29">
        <f>TRUNC(G18*C18,0)</f>
        <v>0</v>
      </c>
      <c r="I18" s="29"/>
      <c r="J18" s="29">
        <f>TRUNC(I18*C18,0)</f>
        <v>0</v>
      </c>
      <c r="K18" s="29"/>
      <c r="L18" s="29">
        <f>TRUNC(K18*C18,0)</f>
        <v>0</v>
      </c>
      <c r="M18" s="20" t="s">
        <v>1297</v>
      </c>
      <c r="P18" t="s">
        <v>412</v>
      </c>
      <c r="R18" t="s">
        <v>46</v>
      </c>
      <c r="BI18" s="34" t="str">
        <f>HYPERLINK("#중기사용료목록!A15","E0021050005 →")</f>
        <v>E0021050005 →</v>
      </c>
    </row>
    <row r="19" spans="1:61" ht="18" customHeight="1">
      <c r="A19" s="11" t="s">
        <v>311</v>
      </c>
      <c r="B19" s="2" t="s">
        <v>987</v>
      </c>
      <c r="C19" s="2">
        <v>1</v>
      </c>
      <c r="D19" s="2" t="s">
        <v>337</v>
      </c>
      <c r="E19" s="29">
        <f t="shared" si="2"/>
        <v>0</v>
      </c>
      <c r="F19" s="29">
        <f t="shared" si="0"/>
        <v>0</v>
      </c>
      <c r="G19" s="29"/>
      <c r="H19" s="29">
        <f>TRUNC(G19*C19,0)</f>
        <v>0</v>
      </c>
      <c r="I19" s="29"/>
      <c r="J19" s="29"/>
      <c r="K19" s="29"/>
      <c r="L19" s="29"/>
      <c r="M19" s="20" t="s">
        <v>1297</v>
      </c>
      <c r="P19" t="s">
        <v>755</v>
      </c>
      <c r="R19" t="s">
        <v>6</v>
      </c>
      <c r="BI19" s="34" t="str">
        <f>HYPERLINK("#자재조서!A7","M001310 →")</f>
        <v>M001310 →</v>
      </c>
    </row>
    <row r="20" spans="1:13" ht="18" customHeight="1">
      <c r="A20" s="5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6"/>
    </row>
    <row r="21" spans="1:30" ht="18" customHeight="1">
      <c r="A21" s="11" t="s">
        <v>545</v>
      </c>
      <c r="B21" s="2" t="s">
        <v>821</v>
      </c>
      <c r="C21" s="2">
        <v>1</v>
      </c>
      <c r="D21" s="2" t="s">
        <v>807</v>
      </c>
      <c r="F21" s="29">
        <f aca="true" t="shared" si="3" ref="F21:F32">H21+J21+L21</f>
        <v>0</v>
      </c>
      <c r="H21" s="29">
        <f>TRUNC(H22+H23+H24+H25+H26+H27+H28+H29+H30+H31+H32,0)</f>
        <v>0</v>
      </c>
      <c r="J21" s="29">
        <f>TRUNC(J22+J23+J24+J25+J26+J27+J28+J29+J30+J31+J32,0)</f>
        <v>0</v>
      </c>
      <c r="L21" s="29">
        <f>TRUNC(L22+L23+L24+L25+L26+L27+L28+L29+L30+L31+L32,0)</f>
        <v>0</v>
      </c>
      <c r="M21" s="20" t="s">
        <v>1297</v>
      </c>
      <c r="O21" t="s">
        <v>35</v>
      </c>
      <c r="AA21" s="41" t="s">
        <v>491</v>
      </c>
      <c r="AB21" s="6">
        <v>0</v>
      </c>
      <c r="AC21" s="41" t="s">
        <v>491</v>
      </c>
      <c r="AD21" s="7">
        <f>$AB21</f>
        <v>0</v>
      </c>
    </row>
    <row r="22" spans="1:30" ht="18" customHeight="1">
      <c r="A22" s="11" t="s">
        <v>423</v>
      </c>
      <c r="B22" s="2" t="s">
        <v>615</v>
      </c>
      <c r="C22" s="2"/>
      <c r="D22" s="2" t="s">
        <v>1297</v>
      </c>
      <c r="E22" s="29">
        <f aca="true" t="shared" si="4" ref="E22:E32">G22+I22+K22</f>
        <v>0</v>
      </c>
      <c r="F22" s="29">
        <f t="shared" si="3"/>
        <v>0</v>
      </c>
      <c r="G22" s="1"/>
      <c r="H22" s="29">
        <v>0</v>
      </c>
      <c r="I22" s="1"/>
      <c r="J22" s="29">
        <v>0</v>
      </c>
      <c r="K22" s="1"/>
      <c r="L22" s="29">
        <v>0</v>
      </c>
      <c r="M22" s="20" t="s">
        <v>1297</v>
      </c>
      <c r="P22" t="s">
        <v>166</v>
      </c>
      <c r="R22" t="s">
        <v>1083</v>
      </c>
      <c r="X22" t="s">
        <v>739</v>
      </c>
      <c r="AA22" s="41" t="s">
        <v>1063</v>
      </c>
      <c r="AB22" s="6">
        <v>0</v>
      </c>
      <c r="AC22" s="41" t="s">
        <v>1063</v>
      </c>
      <c r="AD22" s="7">
        <f>$AB22</f>
        <v>0</v>
      </c>
    </row>
    <row r="23" spans="1:61" ht="18" customHeight="1">
      <c r="A23" s="11" t="s">
        <v>581</v>
      </c>
      <c r="B23" s="2" t="s">
        <v>1297</v>
      </c>
      <c r="C23" s="2">
        <v>0.19</v>
      </c>
      <c r="D23" s="2" t="s">
        <v>1208</v>
      </c>
      <c r="E23" s="29">
        <f t="shared" si="4"/>
        <v>0</v>
      </c>
      <c r="F23" s="29">
        <f t="shared" si="3"/>
        <v>0</v>
      </c>
      <c r="G23" s="29"/>
      <c r="H23" s="29"/>
      <c r="I23" s="29"/>
      <c r="J23" s="29">
        <f>TRUNC(I23*C23,0)</f>
        <v>0</v>
      </c>
      <c r="K23" s="29"/>
      <c r="L23" s="29"/>
      <c r="M23" s="20" t="s">
        <v>1297</v>
      </c>
      <c r="P23" t="s">
        <v>1113</v>
      </c>
      <c r="R23" t="s">
        <v>134</v>
      </c>
      <c r="AA23" s="41" t="s">
        <v>678</v>
      </c>
      <c r="AB23" s="6">
        <v>0</v>
      </c>
      <c r="AC23" s="41" t="s">
        <v>678</v>
      </c>
      <c r="AD23" s="7">
        <f>$AB23</f>
        <v>0</v>
      </c>
      <c r="BI23" s="34" t="str">
        <f>HYPERLINK("#노임!A6","L028 →")</f>
        <v>L028 →</v>
      </c>
    </row>
    <row r="24" spans="1:61" ht="18" customHeight="1">
      <c r="A24" s="11" t="s">
        <v>395</v>
      </c>
      <c r="B24" s="2" t="s">
        <v>1297</v>
      </c>
      <c r="C24" s="2">
        <v>0.07</v>
      </c>
      <c r="D24" s="2" t="s">
        <v>1208</v>
      </c>
      <c r="E24" s="29">
        <f t="shared" si="4"/>
        <v>0</v>
      </c>
      <c r="F24" s="29">
        <f t="shared" si="3"/>
        <v>0</v>
      </c>
      <c r="G24" s="29"/>
      <c r="H24" s="29"/>
      <c r="I24" s="29"/>
      <c r="J24" s="29">
        <f>TRUNC(I24*C24,0)</f>
        <v>0</v>
      </c>
      <c r="K24" s="29"/>
      <c r="L24" s="29"/>
      <c r="M24" s="20" t="s">
        <v>1297</v>
      </c>
      <c r="N24" t="s">
        <v>365</v>
      </c>
      <c r="P24" t="s">
        <v>789</v>
      </c>
      <c r="R24" t="s">
        <v>239</v>
      </c>
      <c r="AA24" s="41" t="s">
        <v>403</v>
      </c>
      <c r="AB24" s="8">
        <f>ROUND((일위대가_호표!J23+일위대가_호표!J24)*2/100,2)</f>
        <v>0</v>
      </c>
      <c r="AC24" s="41" t="s">
        <v>678</v>
      </c>
      <c r="AD24" s="7">
        <f>$AB24</f>
        <v>0</v>
      </c>
      <c r="AE24" s="40" t="s">
        <v>201</v>
      </c>
      <c r="AF24" s="8">
        <f>ROUND(ROUND((일위대가_호표!J23+일위대가_호표!J24)*2/100,2),2)</f>
        <v>0</v>
      </c>
      <c r="AG24" s="40" t="s">
        <v>1012</v>
      </c>
      <c r="AH24" s="7">
        <f>$AF24</f>
        <v>0</v>
      </c>
      <c r="BI24" s="34" t="str">
        <f>HYPERLINK("#노임!A10","L085 →")</f>
        <v>L085 →</v>
      </c>
    </row>
    <row r="25" spans="1:24" ht="18" customHeight="1">
      <c r="A25" s="11" t="s">
        <v>48</v>
      </c>
      <c r="B25" s="2" t="s">
        <v>207</v>
      </c>
      <c r="C25" s="2">
        <v>2</v>
      </c>
      <c r="D25" s="2" t="s">
        <v>266</v>
      </c>
      <c r="E25" s="29">
        <f t="shared" si="4"/>
        <v>0</v>
      </c>
      <c r="F25" s="29">
        <f t="shared" si="3"/>
        <v>0</v>
      </c>
      <c r="G25" s="1"/>
      <c r="H25" s="29">
        <v>0</v>
      </c>
      <c r="I25" s="1"/>
      <c r="J25" s="29">
        <v>0</v>
      </c>
      <c r="K25" s="1"/>
      <c r="L25" s="29">
        <f>TRUNC((ROUND((J23+J24)*2/100,2)),0)</f>
        <v>0</v>
      </c>
      <c r="M25" s="20" t="s">
        <v>1297</v>
      </c>
      <c r="P25" t="s">
        <v>139</v>
      </c>
      <c r="R25" t="s">
        <v>1083</v>
      </c>
      <c r="X25" t="s">
        <v>1253</v>
      </c>
    </row>
    <row r="26" spans="1:61" ht="18" customHeight="1">
      <c r="A26" s="11" t="s">
        <v>670</v>
      </c>
      <c r="B26" s="2" t="s">
        <v>149</v>
      </c>
      <c r="C26" s="2">
        <v>0.12</v>
      </c>
      <c r="D26" s="2" t="s">
        <v>1067</v>
      </c>
      <c r="E26" s="29">
        <f t="shared" si="4"/>
        <v>0</v>
      </c>
      <c r="F26" s="29">
        <f t="shared" si="3"/>
        <v>0</v>
      </c>
      <c r="G26" s="29"/>
      <c r="H26" s="29">
        <f>TRUNC(G26*C26,0)</f>
        <v>0</v>
      </c>
      <c r="I26" s="29"/>
      <c r="J26" s="29">
        <f>TRUNC(I26*C26,0)</f>
        <v>0</v>
      </c>
      <c r="K26" s="29"/>
      <c r="L26" s="29">
        <f>TRUNC(K26*C26,0)</f>
        <v>0</v>
      </c>
      <c r="M26" s="20" t="s">
        <v>1297</v>
      </c>
      <c r="P26" t="s">
        <v>1095</v>
      </c>
      <c r="R26" t="s">
        <v>46</v>
      </c>
      <c r="AA26" s="41" t="s">
        <v>491</v>
      </c>
      <c r="AB26" s="6">
        <v>0</v>
      </c>
      <c r="AC26" s="41" t="s">
        <v>491</v>
      </c>
      <c r="AD26" s="7">
        <f>$AB26</f>
        <v>0</v>
      </c>
      <c r="BI26" s="34" t="str">
        <f>HYPERLINK("#중기사용료목록!A15","E0021050005 →")</f>
        <v>E0021050005 →</v>
      </c>
    </row>
    <row r="27" spans="1:30" ht="18" customHeight="1">
      <c r="A27" s="11" t="s">
        <v>122</v>
      </c>
      <c r="B27" s="2" t="s">
        <v>307</v>
      </c>
      <c r="C27" s="2"/>
      <c r="D27" s="2" t="s">
        <v>1297</v>
      </c>
      <c r="E27" s="29">
        <f t="shared" si="4"/>
        <v>0</v>
      </c>
      <c r="F27" s="29">
        <f t="shared" si="3"/>
        <v>0</v>
      </c>
      <c r="G27" s="1"/>
      <c r="H27" s="29">
        <v>0</v>
      </c>
      <c r="I27" s="1"/>
      <c r="J27" s="29">
        <v>0</v>
      </c>
      <c r="K27" s="1"/>
      <c r="L27" s="29">
        <v>0</v>
      </c>
      <c r="M27" s="20" t="s">
        <v>1297</v>
      </c>
      <c r="P27" t="s">
        <v>767</v>
      </c>
      <c r="R27" t="s">
        <v>1083</v>
      </c>
      <c r="X27" t="s">
        <v>760</v>
      </c>
      <c r="AA27" s="41" t="s">
        <v>1063</v>
      </c>
      <c r="AB27" s="6">
        <v>0</v>
      </c>
      <c r="AC27" s="41" t="s">
        <v>1063</v>
      </c>
      <c r="AD27" s="7">
        <f>$AB27</f>
        <v>0</v>
      </c>
    </row>
    <row r="28" spans="1:61" ht="18" customHeight="1">
      <c r="A28" s="11" t="s">
        <v>581</v>
      </c>
      <c r="B28" s="2" t="s">
        <v>1297</v>
      </c>
      <c r="C28" s="2">
        <v>0.36</v>
      </c>
      <c r="D28" s="2" t="s">
        <v>1208</v>
      </c>
      <c r="E28" s="29">
        <f t="shared" si="4"/>
        <v>0</v>
      </c>
      <c r="F28" s="29">
        <f t="shared" si="3"/>
        <v>0</v>
      </c>
      <c r="G28" s="29"/>
      <c r="H28" s="29"/>
      <c r="I28" s="29"/>
      <c r="J28" s="29">
        <f>TRUNC(I28*C28,0)</f>
        <v>0</v>
      </c>
      <c r="K28" s="29"/>
      <c r="L28" s="29"/>
      <c r="M28" s="20" t="s">
        <v>1297</v>
      </c>
      <c r="P28" t="s">
        <v>437</v>
      </c>
      <c r="R28" t="s">
        <v>134</v>
      </c>
      <c r="AA28" s="41" t="s">
        <v>678</v>
      </c>
      <c r="AB28" s="6">
        <v>0</v>
      </c>
      <c r="AC28" s="41" t="s">
        <v>678</v>
      </c>
      <c r="AD28" s="7">
        <f>$AB28</f>
        <v>0</v>
      </c>
      <c r="BI28" s="34" t="str">
        <f>HYPERLINK("#노임!A6","L028 →")</f>
        <v>L028 →</v>
      </c>
    </row>
    <row r="29" spans="1:61" ht="18" customHeight="1">
      <c r="A29" s="11" t="s">
        <v>395</v>
      </c>
      <c r="B29" s="2" t="s">
        <v>1297</v>
      </c>
      <c r="C29" s="2">
        <v>0.18</v>
      </c>
      <c r="D29" s="2" t="s">
        <v>1208</v>
      </c>
      <c r="E29" s="29">
        <f t="shared" si="4"/>
        <v>0</v>
      </c>
      <c r="F29" s="29">
        <f t="shared" si="3"/>
        <v>0</v>
      </c>
      <c r="G29" s="29"/>
      <c r="H29" s="29"/>
      <c r="I29" s="29"/>
      <c r="J29" s="29">
        <f>TRUNC(I29*C29,0)</f>
        <v>0</v>
      </c>
      <c r="K29" s="29"/>
      <c r="L29" s="29"/>
      <c r="M29" s="20" t="s">
        <v>1297</v>
      </c>
      <c r="N29" t="s">
        <v>365</v>
      </c>
      <c r="P29" t="s">
        <v>112</v>
      </c>
      <c r="R29" t="s">
        <v>239</v>
      </c>
      <c r="AA29" s="41" t="s">
        <v>403</v>
      </c>
      <c r="AB29" s="8">
        <f>ROUND((일위대가_호표!J23+일위대가_호표!J24)*4/100,2)</f>
        <v>0</v>
      </c>
      <c r="AC29" s="41" t="s">
        <v>678</v>
      </c>
      <c r="AD29" s="7">
        <f>$AB29</f>
        <v>0</v>
      </c>
      <c r="AE29" s="40" t="s">
        <v>569</v>
      </c>
      <c r="AF29" s="8">
        <f>ROUND(ROUND((일위대가_호표!J23+일위대가_호표!J24)*4/100,2),2)</f>
        <v>0</v>
      </c>
      <c r="AG29" s="40" t="s">
        <v>162</v>
      </c>
      <c r="AH29" s="7">
        <f>$AF29</f>
        <v>0</v>
      </c>
      <c r="BI29" s="34" t="str">
        <f>HYPERLINK("#노임!A10","L085 →")</f>
        <v>L085 →</v>
      </c>
    </row>
    <row r="30" spans="1:24" ht="18" customHeight="1">
      <c r="A30" s="11" t="s">
        <v>593</v>
      </c>
      <c r="B30" s="2" t="s">
        <v>207</v>
      </c>
      <c r="C30" s="2">
        <v>4</v>
      </c>
      <c r="D30" s="2" t="s">
        <v>266</v>
      </c>
      <c r="E30" s="29">
        <f t="shared" si="4"/>
        <v>0</v>
      </c>
      <c r="F30" s="29">
        <f t="shared" si="3"/>
        <v>0</v>
      </c>
      <c r="G30" s="1"/>
      <c r="H30" s="29">
        <v>0</v>
      </c>
      <c r="I30" s="1"/>
      <c r="J30" s="29">
        <v>0</v>
      </c>
      <c r="K30" s="1"/>
      <c r="L30" s="29">
        <f>TRUNC((ROUND((J23+J24)*4/100,2)),0)</f>
        <v>0</v>
      </c>
      <c r="M30" s="20" t="s">
        <v>1297</v>
      </c>
      <c r="P30" t="s">
        <v>106</v>
      </c>
      <c r="R30" t="s">
        <v>1083</v>
      </c>
      <c r="X30" t="s">
        <v>558</v>
      </c>
    </row>
    <row r="31" spans="1:61" ht="18" customHeight="1">
      <c r="A31" s="11" t="s">
        <v>670</v>
      </c>
      <c r="B31" s="2" t="s">
        <v>149</v>
      </c>
      <c r="C31" s="2">
        <v>1.15</v>
      </c>
      <c r="D31" s="2" t="s">
        <v>1067</v>
      </c>
      <c r="E31" s="29">
        <f t="shared" si="4"/>
        <v>0</v>
      </c>
      <c r="F31" s="29">
        <f t="shared" si="3"/>
        <v>0</v>
      </c>
      <c r="G31" s="29"/>
      <c r="H31" s="29">
        <f>TRUNC(G31*C31,0)</f>
        <v>0</v>
      </c>
      <c r="I31" s="29"/>
      <c r="J31" s="29">
        <f>TRUNC(I31*C31,0)</f>
        <v>0</v>
      </c>
      <c r="K31" s="29"/>
      <c r="L31" s="29">
        <f>TRUNC(K31*C31,0)</f>
        <v>0</v>
      </c>
      <c r="M31" s="20" t="s">
        <v>1297</v>
      </c>
      <c r="P31" t="s">
        <v>412</v>
      </c>
      <c r="R31" t="s">
        <v>46</v>
      </c>
      <c r="BI31" s="34" t="str">
        <f>HYPERLINK("#중기사용료목록!A15","E0021050005 →")</f>
        <v>E0021050005 →</v>
      </c>
    </row>
    <row r="32" spans="1:61" ht="18" customHeight="1">
      <c r="A32" s="11" t="s">
        <v>311</v>
      </c>
      <c r="B32" s="2" t="s">
        <v>578</v>
      </c>
      <c r="C32" s="2">
        <v>1</v>
      </c>
      <c r="D32" s="2" t="s">
        <v>337</v>
      </c>
      <c r="E32" s="29">
        <f t="shared" si="4"/>
        <v>0</v>
      </c>
      <c r="F32" s="29">
        <f t="shared" si="3"/>
        <v>0</v>
      </c>
      <c r="G32" s="29"/>
      <c r="H32" s="29">
        <f>TRUNC(G32*C32,0)</f>
        <v>0</v>
      </c>
      <c r="I32" s="29"/>
      <c r="J32" s="29"/>
      <c r="K32" s="29"/>
      <c r="L32" s="29"/>
      <c r="M32" s="20" t="s">
        <v>1297</v>
      </c>
      <c r="P32" t="s">
        <v>755</v>
      </c>
      <c r="R32" t="s">
        <v>709</v>
      </c>
      <c r="BI32" s="34" t="str">
        <f>HYPERLINK("#자재조서!A8","M001315 →")</f>
        <v>M001315 →</v>
      </c>
    </row>
    <row r="33" spans="1:13" ht="18" customHeight="1">
      <c r="A33" s="5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56"/>
    </row>
    <row r="34" spans="1:30" ht="18" customHeight="1">
      <c r="A34" s="11" t="s">
        <v>1206</v>
      </c>
      <c r="B34" s="2" t="s">
        <v>1070</v>
      </c>
      <c r="C34" s="2">
        <v>1</v>
      </c>
      <c r="D34" s="2" t="s">
        <v>807</v>
      </c>
      <c r="F34" s="29">
        <f aca="true" t="shared" si="5" ref="F34:F45">H34+J34+L34</f>
        <v>0</v>
      </c>
      <c r="H34" s="29">
        <f>TRUNC(H35+H36+H37+H38+H39+H40+H41+H42+H43+H44+H45,0)</f>
        <v>0</v>
      </c>
      <c r="J34" s="29">
        <f>TRUNC(J35+J36+J37+J38+J39+J40+J41+J42+J43+J44+J45,0)</f>
        <v>0</v>
      </c>
      <c r="L34" s="29">
        <f>TRUNC(L35+L36+L37+L38+L39+L40+L41+L42+L43+L44+L45,0)</f>
        <v>0</v>
      </c>
      <c r="M34" s="20" t="s">
        <v>1297</v>
      </c>
      <c r="O34" t="s">
        <v>363</v>
      </c>
      <c r="AA34" s="41" t="s">
        <v>491</v>
      </c>
      <c r="AB34" s="6">
        <v>0</v>
      </c>
      <c r="AC34" s="41" t="s">
        <v>491</v>
      </c>
      <c r="AD34" s="7">
        <f>$AB34</f>
        <v>0</v>
      </c>
    </row>
    <row r="35" spans="1:30" ht="18" customHeight="1">
      <c r="A35" s="11" t="s">
        <v>423</v>
      </c>
      <c r="B35" s="2" t="s">
        <v>615</v>
      </c>
      <c r="C35" s="2"/>
      <c r="D35" s="2" t="s">
        <v>1297</v>
      </c>
      <c r="E35" s="29">
        <f aca="true" t="shared" si="6" ref="E35:E45">G35+I35+K35</f>
        <v>0</v>
      </c>
      <c r="F35" s="29">
        <f t="shared" si="5"/>
        <v>0</v>
      </c>
      <c r="G35" s="1"/>
      <c r="H35" s="29">
        <v>0</v>
      </c>
      <c r="I35" s="1"/>
      <c r="J35" s="29">
        <v>0</v>
      </c>
      <c r="K35" s="1"/>
      <c r="L35" s="29">
        <v>0</v>
      </c>
      <c r="M35" s="20" t="s">
        <v>1297</v>
      </c>
      <c r="P35" t="s">
        <v>166</v>
      </c>
      <c r="R35" t="s">
        <v>1083</v>
      </c>
      <c r="X35" t="s">
        <v>910</v>
      </c>
      <c r="AA35" s="41" t="s">
        <v>1063</v>
      </c>
      <c r="AB35" s="6">
        <v>0</v>
      </c>
      <c r="AC35" s="41" t="s">
        <v>1063</v>
      </c>
      <c r="AD35" s="7">
        <f>$AB35</f>
        <v>0</v>
      </c>
    </row>
    <row r="36" spans="1:61" ht="18" customHeight="1">
      <c r="A36" s="11" t="s">
        <v>581</v>
      </c>
      <c r="B36" s="2" t="s">
        <v>1297</v>
      </c>
      <c r="C36" s="2">
        <v>0.2</v>
      </c>
      <c r="D36" s="2" t="s">
        <v>1203</v>
      </c>
      <c r="E36" s="29">
        <f t="shared" si="6"/>
        <v>0</v>
      </c>
      <c r="F36" s="29">
        <f t="shared" si="5"/>
        <v>0</v>
      </c>
      <c r="G36" s="29"/>
      <c r="H36" s="29"/>
      <c r="I36" s="29"/>
      <c r="J36" s="29">
        <f>TRUNC(I36*C36,0)</f>
        <v>0</v>
      </c>
      <c r="K36" s="29"/>
      <c r="L36" s="29"/>
      <c r="M36" s="20" t="s">
        <v>1297</v>
      </c>
      <c r="P36" t="s">
        <v>1113</v>
      </c>
      <c r="R36" t="s">
        <v>134</v>
      </c>
      <c r="AA36" s="41" t="s">
        <v>678</v>
      </c>
      <c r="AB36" s="6">
        <v>0</v>
      </c>
      <c r="AC36" s="41" t="s">
        <v>678</v>
      </c>
      <c r="AD36" s="7">
        <f>$AB36</f>
        <v>0</v>
      </c>
      <c r="BI36" s="34" t="str">
        <f>HYPERLINK("#노임!A6","L028 →")</f>
        <v>L028 →</v>
      </c>
    </row>
    <row r="37" spans="1:61" ht="18" customHeight="1">
      <c r="A37" s="11" t="s">
        <v>395</v>
      </c>
      <c r="B37" s="2" t="s">
        <v>1297</v>
      </c>
      <c r="C37" s="2">
        <v>0.08</v>
      </c>
      <c r="D37" s="2" t="s">
        <v>1203</v>
      </c>
      <c r="E37" s="29">
        <f t="shared" si="6"/>
        <v>0</v>
      </c>
      <c r="F37" s="29">
        <f t="shared" si="5"/>
        <v>0</v>
      </c>
      <c r="G37" s="29"/>
      <c r="H37" s="29"/>
      <c r="I37" s="29"/>
      <c r="J37" s="29">
        <f>TRUNC(I37*C37,0)</f>
        <v>0</v>
      </c>
      <c r="K37" s="29"/>
      <c r="L37" s="29"/>
      <c r="M37" s="20" t="s">
        <v>1297</v>
      </c>
      <c r="N37" t="s">
        <v>365</v>
      </c>
      <c r="P37" t="s">
        <v>789</v>
      </c>
      <c r="R37" t="s">
        <v>239</v>
      </c>
      <c r="AA37" s="41" t="s">
        <v>403</v>
      </c>
      <c r="AB37" s="8">
        <f>ROUND((일위대가_호표!J36+일위대가_호표!J37)*2/100,2)</f>
        <v>0</v>
      </c>
      <c r="AC37" s="41" t="s">
        <v>678</v>
      </c>
      <c r="AD37" s="7">
        <f>$AB37</f>
        <v>0</v>
      </c>
      <c r="AE37" s="40" t="s">
        <v>1127</v>
      </c>
      <c r="AF37" s="8">
        <f>ROUND(ROUND((일위대가_호표!J36+일위대가_호표!J37)*2/100,2),2)</f>
        <v>0</v>
      </c>
      <c r="AG37" s="40" t="s">
        <v>528</v>
      </c>
      <c r="AH37" s="7">
        <f>$AF37</f>
        <v>0</v>
      </c>
      <c r="BI37" s="34" t="str">
        <f>HYPERLINK("#노임!A10","L085 →")</f>
        <v>L085 →</v>
      </c>
    </row>
    <row r="38" spans="1:24" ht="18" customHeight="1">
      <c r="A38" s="11" t="s">
        <v>48</v>
      </c>
      <c r="B38" s="2" t="s">
        <v>207</v>
      </c>
      <c r="C38" s="2">
        <v>2</v>
      </c>
      <c r="D38" s="2" t="s">
        <v>266</v>
      </c>
      <c r="E38" s="29">
        <f t="shared" si="6"/>
        <v>0</v>
      </c>
      <c r="F38" s="29">
        <f t="shared" si="5"/>
        <v>0</v>
      </c>
      <c r="G38" s="1"/>
      <c r="H38" s="29">
        <v>0</v>
      </c>
      <c r="I38" s="1"/>
      <c r="J38" s="29">
        <v>0</v>
      </c>
      <c r="K38" s="1"/>
      <c r="L38" s="29">
        <f>TRUNC((ROUND((J36+J37)*2/100,2)),0)</f>
        <v>0</v>
      </c>
      <c r="M38" s="20" t="s">
        <v>1297</v>
      </c>
      <c r="P38" t="s">
        <v>139</v>
      </c>
      <c r="R38" t="s">
        <v>1083</v>
      </c>
      <c r="X38" t="s">
        <v>490</v>
      </c>
    </row>
    <row r="39" spans="1:61" ht="18" customHeight="1">
      <c r="A39" s="11" t="s">
        <v>670</v>
      </c>
      <c r="B39" s="2" t="s">
        <v>149</v>
      </c>
      <c r="C39" s="2">
        <v>0.14</v>
      </c>
      <c r="D39" s="2" t="s">
        <v>1067</v>
      </c>
      <c r="E39" s="29">
        <f t="shared" si="6"/>
        <v>0</v>
      </c>
      <c r="F39" s="29">
        <f t="shared" si="5"/>
        <v>0</v>
      </c>
      <c r="G39" s="29"/>
      <c r="H39" s="29">
        <f>TRUNC(G39*C39,0)</f>
        <v>0</v>
      </c>
      <c r="I39" s="29"/>
      <c r="J39" s="29">
        <f>TRUNC(I39*C39,0)</f>
        <v>0</v>
      </c>
      <c r="K39" s="29"/>
      <c r="L39" s="29">
        <f>TRUNC(K39*C39,0)</f>
        <v>0</v>
      </c>
      <c r="M39" s="20" t="s">
        <v>1297</v>
      </c>
      <c r="P39" t="s">
        <v>1095</v>
      </c>
      <c r="R39" t="s">
        <v>46</v>
      </c>
      <c r="AA39" s="41" t="s">
        <v>491</v>
      </c>
      <c r="AB39" s="6">
        <v>0</v>
      </c>
      <c r="AC39" s="41" t="s">
        <v>491</v>
      </c>
      <c r="AD39" s="7">
        <f>$AB39</f>
        <v>0</v>
      </c>
      <c r="BI39" s="34" t="str">
        <f>HYPERLINK("#중기사용료목록!A15","E0021050005 →")</f>
        <v>E0021050005 →</v>
      </c>
    </row>
    <row r="40" spans="1:30" ht="18" customHeight="1">
      <c r="A40" s="11" t="s">
        <v>122</v>
      </c>
      <c r="B40" s="2" t="s">
        <v>307</v>
      </c>
      <c r="C40" s="2"/>
      <c r="D40" s="2" t="s">
        <v>1297</v>
      </c>
      <c r="E40" s="29">
        <f t="shared" si="6"/>
        <v>0</v>
      </c>
      <c r="F40" s="29">
        <f t="shared" si="5"/>
        <v>0</v>
      </c>
      <c r="G40" s="1"/>
      <c r="H40" s="29">
        <v>0</v>
      </c>
      <c r="I40" s="1"/>
      <c r="J40" s="29">
        <v>0</v>
      </c>
      <c r="K40" s="1"/>
      <c r="L40" s="29">
        <v>0</v>
      </c>
      <c r="M40" s="20" t="s">
        <v>1297</v>
      </c>
      <c r="P40" t="s">
        <v>437</v>
      </c>
      <c r="R40" t="s">
        <v>1083</v>
      </c>
      <c r="X40" t="s">
        <v>866</v>
      </c>
      <c r="AA40" s="41" t="s">
        <v>1063</v>
      </c>
      <c r="AB40" s="6">
        <v>0</v>
      </c>
      <c r="AC40" s="41" t="s">
        <v>1063</v>
      </c>
      <c r="AD40" s="7">
        <f>$AB40</f>
        <v>0</v>
      </c>
    </row>
    <row r="41" spans="1:61" ht="18" customHeight="1">
      <c r="A41" s="11" t="s">
        <v>581</v>
      </c>
      <c r="B41" s="2" t="s">
        <v>1297</v>
      </c>
      <c r="C41" s="2">
        <v>0.36</v>
      </c>
      <c r="D41" s="2" t="s">
        <v>1203</v>
      </c>
      <c r="E41" s="29">
        <f t="shared" si="6"/>
        <v>0</v>
      </c>
      <c r="F41" s="29">
        <f t="shared" si="5"/>
        <v>0</v>
      </c>
      <c r="G41" s="29"/>
      <c r="H41" s="29"/>
      <c r="I41" s="29"/>
      <c r="J41" s="29">
        <f>TRUNC(I41*C41,0)</f>
        <v>0</v>
      </c>
      <c r="K41" s="29"/>
      <c r="L41" s="29"/>
      <c r="M41" s="20" t="s">
        <v>1297</v>
      </c>
      <c r="P41" t="s">
        <v>112</v>
      </c>
      <c r="R41" t="s">
        <v>134</v>
      </c>
      <c r="AA41" s="41" t="s">
        <v>678</v>
      </c>
      <c r="AB41" s="6">
        <v>0</v>
      </c>
      <c r="AC41" s="41" t="s">
        <v>678</v>
      </c>
      <c r="AD41" s="7">
        <f>$AB41</f>
        <v>0</v>
      </c>
      <c r="BI41" s="34" t="str">
        <f>HYPERLINK("#노임!A6","L028 →")</f>
        <v>L028 →</v>
      </c>
    </row>
    <row r="42" spans="1:61" ht="18" customHeight="1">
      <c r="A42" s="11" t="s">
        <v>395</v>
      </c>
      <c r="B42" s="2" t="s">
        <v>1297</v>
      </c>
      <c r="C42" s="2">
        <v>0.18</v>
      </c>
      <c r="D42" s="2" t="s">
        <v>1203</v>
      </c>
      <c r="E42" s="29">
        <f t="shared" si="6"/>
        <v>0</v>
      </c>
      <c r="F42" s="29">
        <f t="shared" si="5"/>
        <v>0</v>
      </c>
      <c r="G42" s="29"/>
      <c r="H42" s="29"/>
      <c r="I42" s="29"/>
      <c r="J42" s="29">
        <f>TRUNC(I42*C42,0)</f>
        <v>0</v>
      </c>
      <c r="K42" s="29"/>
      <c r="L42" s="29"/>
      <c r="M42" s="20" t="s">
        <v>1297</v>
      </c>
      <c r="N42" t="s">
        <v>365</v>
      </c>
      <c r="P42" t="s">
        <v>106</v>
      </c>
      <c r="R42" t="s">
        <v>239</v>
      </c>
      <c r="AA42" s="41" t="s">
        <v>403</v>
      </c>
      <c r="AB42" s="8">
        <f>ROUND((일위대가_호표!J36+일위대가_호표!J37)*4/100,2)</f>
        <v>0</v>
      </c>
      <c r="AC42" s="41" t="s">
        <v>678</v>
      </c>
      <c r="AD42" s="7">
        <f>$AB42</f>
        <v>0</v>
      </c>
      <c r="AE42" s="40" t="s">
        <v>1184</v>
      </c>
      <c r="AF42" s="8">
        <f>ROUND(ROUND((일위대가_호표!J36+일위대가_호표!J37)*4/100,2),2)</f>
        <v>0</v>
      </c>
      <c r="AG42" s="40" t="s">
        <v>952</v>
      </c>
      <c r="AH42" s="7">
        <f>$AF42</f>
        <v>0</v>
      </c>
      <c r="BI42" s="34" t="str">
        <f>HYPERLINK("#노임!A10","L085 →")</f>
        <v>L085 →</v>
      </c>
    </row>
    <row r="43" spans="1:24" ht="18" customHeight="1">
      <c r="A43" s="11" t="s">
        <v>593</v>
      </c>
      <c r="B43" s="2" t="s">
        <v>207</v>
      </c>
      <c r="C43" s="2">
        <v>4</v>
      </c>
      <c r="D43" s="2" t="s">
        <v>266</v>
      </c>
      <c r="E43" s="29">
        <f t="shared" si="6"/>
        <v>0</v>
      </c>
      <c r="F43" s="29">
        <f t="shared" si="5"/>
        <v>0</v>
      </c>
      <c r="G43" s="1"/>
      <c r="H43" s="29">
        <v>0</v>
      </c>
      <c r="I43" s="1"/>
      <c r="J43" s="29">
        <v>0</v>
      </c>
      <c r="K43" s="1"/>
      <c r="L43" s="29">
        <f>TRUNC((ROUND((J36+J37)*4/100,2)),0)</f>
        <v>0</v>
      </c>
      <c r="M43" s="20" t="s">
        <v>1297</v>
      </c>
      <c r="P43" t="s">
        <v>412</v>
      </c>
      <c r="R43" t="s">
        <v>1083</v>
      </c>
      <c r="X43" t="s">
        <v>190</v>
      </c>
    </row>
    <row r="44" spans="1:61" ht="18" customHeight="1">
      <c r="A44" s="11" t="s">
        <v>670</v>
      </c>
      <c r="B44" s="2" t="s">
        <v>149</v>
      </c>
      <c r="C44" s="2">
        <v>1.15</v>
      </c>
      <c r="D44" s="2" t="s">
        <v>1067</v>
      </c>
      <c r="E44" s="29">
        <f t="shared" si="6"/>
        <v>0</v>
      </c>
      <c r="F44" s="29">
        <f t="shared" si="5"/>
        <v>0</v>
      </c>
      <c r="G44" s="29"/>
      <c r="H44" s="29">
        <f>TRUNC(G44*C44,0)</f>
        <v>0</v>
      </c>
      <c r="I44" s="29"/>
      <c r="J44" s="29">
        <f>TRUNC(I44*C44,0)</f>
        <v>0</v>
      </c>
      <c r="K44" s="29"/>
      <c r="L44" s="29">
        <f>TRUNC(K44*C44,0)</f>
        <v>0</v>
      </c>
      <c r="M44" s="20" t="s">
        <v>1297</v>
      </c>
      <c r="P44" t="s">
        <v>755</v>
      </c>
      <c r="R44" t="s">
        <v>46</v>
      </c>
      <c r="BI44" s="34" t="str">
        <f>HYPERLINK("#중기사용료목록!A15","E0021050005 →")</f>
        <v>E0021050005 →</v>
      </c>
    </row>
    <row r="45" spans="1:61" ht="18" customHeight="1">
      <c r="A45" s="11" t="s">
        <v>311</v>
      </c>
      <c r="B45" s="2" t="s">
        <v>448</v>
      </c>
      <c r="C45" s="2">
        <v>1</v>
      </c>
      <c r="D45" s="2" t="s">
        <v>337</v>
      </c>
      <c r="E45" s="29">
        <f t="shared" si="6"/>
        <v>0</v>
      </c>
      <c r="F45" s="29">
        <f t="shared" si="5"/>
        <v>0</v>
      </c>
      <c r="G45" s="29"/>
      <c r="H45" s="29">
        <f>TRUNC(G45*C45,0)</f>
        <v>0</v>
      </c>
      <c r="I45" s="29"/>
      <c r="J45" s="29"/>
      <c r="K45" s="29"/>
      <c r="L45" s="29"/>
      <c r="M45" s="20" t="s">
        <v>1297</v>
      </c>
      <c r="P45" t="s">
        <v>1074</v>
      </c>
      <c r="R45" t="s">
        <v>961</v>
      </c>
      <c r="BI45" s="34" t="str">
        <f>HYPERLINK("#자재조서!A9","M001320 →")</f>
        <v>M001320 →</v>
      </c>
    </row>
    <row r="46" spans="1:13" ht="18" customHeight="1">
      <c r="A46" s="5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56"/>
    </row>
    <row r="47" spans="1:15" ht="18" customHeight="1">
      <c r="A47" s="11" t="s">
        <v>665</v>
      </c>
      <c r="B47" s="2" t="s">
        <v>241</v>
      </c>
      <c r="C47" s="2">
        <v>1</v>
      </c>
      <c r="D47" s="2" t="s">
        <v>807</v>
      </c>
      <c r="F47" s="29">
        <f>H47+J47+L47</f>
        <v>0</v>
      </c>
      <c r="H47" s="29">
        <f>TRUNC(H49+H50+H51,0)</f>
        <v>0</v>
      </c>
      <c r="J47" s="29">
        <f>TRUNC(J49+J50+J51,0)</f>
        <v>0</v>
      </c>
      <c r="L47" s="29">
        <f>TRUNC(L49+L50+L51,0)</f>
        <v>0</v>
      </c>
      <c r="M47" s="20" t="s">
        <v>1297</v>
      </c>
      <c r="O47" t="s">
        <v>1243</v>
      </c>
    </row>
    <row r="48" spans="1:18" ht="18" customHeight="1">
      <c r="A48" s="11" t="s">
        <v>105</v>
      </c>
      <c r="B48" s="2" t="s">
        <v>718</v>
      </c>
      <c r="C48" s="2"/>
      <c r="D48" s="2" t="s">
        <v>1297</v>
      </c>
      <c r="E48" s="29">
        <f>G48+I48+K48</f>
        <v>0</v>
      </c>
      <c r="F48" s="29">
        <f>H48+J48+L48</f>
        <v>0</v>
      </c>
      <c r="G48" s="1"/>
      <c r="H48" s="29">
        <v>0</v>
      </c>
      <c r="I48" s="1"/>
      <c r="J48" s="29">
        <v>0</v>
      </c>
      <c r="K48" s="1"/>
      <c r="L48" s="29">
        <v>0</v>
      </c>
      <c r="M48" s="20" t="s">
        <v>1297</v>
      </c>
      <c r="P48" t="s">
        <v>166</v>
      </c>
    </row>
    <row r="49" spans="1:61" ht="18" customHeight="1">
      <c r="A49" s="11" t="s">
        <v>419</v>
      </c>
      <c r="B49" s="2" t="s">
        <v>1297</v>
      </c>
      <c r="C49" s="2">
        <v>0.07</v>
      </c>
      <c r="D49" s="2" t="s">
        <v>1203</v>
      </c>
      <c r="E49" s="29">
        <f>G49+I49+K49</f>
        <v>0</v>
      </c>
      <c r="F49" s="29">
        <f>H49+J49+L49</f>
        <v>0</v>
      </c>
      <c r="G49" s="29"/>
      <c r="H49" s="29"/>
      <c r="I49" s="29"/>
      <c r="J49" s="29">
        <f>TRUNC(I49*C49,0)</f>
        <v>0</v>
      </c>
      <c r="K49" s="29"/>
      <c r="L49" s="29"/>
      <c r="M49" s="20" t="s">
        <v>1297</v>
      </c>
      <c r="P49" t="s">
        <v>1113</v>
      </c>
      <c r="R49" t="s">
        <v>707</v>
      </c>
      <c r="BI49" s="34" t="str">
        <f>HYPERLINK("#노임!A7","L029 →")</f>
        <v>L029 →</v>
      </c>
    </row>
    <row r="50" spans="1:61" ht="18" customHeight="1">
      <c r="A50" s="11" t="s">
        <v>395</v>
      </c>
      <c r="B50" s="2" t="s">
        <v>1297</v>
      </c>
      <c r="C50" s="2">
        <v>0.04</v>
      </c>
      <c r="D50" s="2" t="s">
        <v>1203</v>
      </c>
      <c r="E50" s="29">
        <f>G50+I50+K50</f>
        <v>0</v>
      </c>
      <c r="F50" s="29">
        <f>H50+J50+L50</f>
        <v>0</v>
      </c>
      <c r="G50" s="29"/>
      <c r="H50" s="29"/>
      <c r="I50" s="29"/>
      <c r="J50" s="29">
        <f>TRUNC(I50*C50,0)</f>
        <v>0</v>
      </c>
      <c r="K50" s="29"/>
      <c r="L50" s="29"/>
      <c r="M50" s="20" t="s">
        <v>1297</v>
      </c>
      <c r="N50" t="s">
        <v>365</v>
      </c>
      <c r="P50" t="s">
        <v>789</v>
      </c>
      <c r="R50" t="s">
        <v>239</v>
      </c>
      <c r="AA50" s="41" t="s">
        <v>939</v>
      </c>
      <c r="AB50" s="8">
        <f>(일위대가_호표!J49+일위대가_호표!J50)*(2/100)</f>
        <v>0</v>
      </c>
      <c r="AC50" s="41" t="s">
        <v>1063</v>
      </c>
      <c r="AD50" s="7">
        <f>$AB50</f>
        <v>0</v>
      </c>
      <c r="BI50" s="34" t="str">
        <f>HYPERLINK("#노임!A10","L085 →")</f>
        <v>L085 →</v>
      </c>
    </row>
    <row r="51" spans="1:24" ht="18" customHeight="1">
      <c r="A51" s="11" t="s">
        <v>1065</v>
      </c>
      <c r="B51" s="2" t="s">
        <v>207</v>
      </c>
      <c r="C51" s="2">
        <v>2</v>
      </c>
      <c r="D51" s="2" t="s">
        <v>266</v>
      </c>
      <c r="E51" s="29">
        <f>G51+I51+K51</f>
        <v>0</v>
      </c>
      <c r="F51" s="29">
        <f>H51+J51+L51</f>
        <v>0</v>
      </c>
      <c r="G51" s="1"/>
      <c r="H51" s="29">
        <f>TRUNC(((J49+J50)*(2/100)),0)</f>
        <v>0</v>
      </c>
      <c r="I51" s="1"/>
      <c r="J51" s="29">
        <v>0</v>
      </c>
      <c r="K51" s="1"/>
      <c r="L51" s="29">
        <v>0</v>
      </c>
      <c r="M51" s="20" t="s">
        <v>1297</v>
      </c>
      <c r="P51" t="s">
        <v>450</v>
      </c>
      <c r="R51" t="s">
        <v>1083</v>
      </c>
      <c r="X51" t="s">
        <v>1011</v>
      </c>
    </row>
    <row r="52" spans="1:13" ht="18" customHeight="1">
      <c r="A52" s="5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56"/>
    </row>
    <row r="53" spans="1:15" ht="18" customHeight="1">
      <c r="A53" s="11" t="s">
        <v>590</v>
      </c>
      <c r="B53" s="2" t="s">
        <v>332</v>
      </c>
      <c r="C53" s="2">
        <v>1</v>
      </c>
      <c r="D53" s="2" t="s">
        <v>617</v>
      </c>
      <c r="F53" s="29">
        <f aca="true" t="shared" si="7" ref="F53:F58">H53+J53+L53</f>
        <v>0</v>
      </c>
      <c r="H53" s="29">
        <f>TRUNC(H55+H56+H57+H58,0)</f>
        <v>0</v>
      </c>
      <c r="J53" s="29">
        <f>TRUNC(J55+J56+J57+J58,0)</f>
        <v>0</v>
      </c>
      <c r="L53" s="29">
        <f>TRUNC(L55+L56+L57+L58,0)</f>
        <v>0</v>
      </c>
      <c r="M53" s="20" t="s">
        <v>1297</v>
      </c>
      <c r="O53" t="s">
        <v>886</v>
      </c>
    </row>
    <row r="54" spans="1:18" ht="18" customHeight="1">
      <c r="A54" s="11" t="s">
        <v>992</v>
      </c>
      <c r="B54" s="2" t="s">
        <v>76</v>
      </c>
      <c r="C54" s="2"/>
      <c r="D54" s="2" t="s">
        <v>1297</v>
      </c>
      <c r="E54" s="29">
        <f>G54+I54+K54</f>
        <v>0</v>
      </c>
      <c r="F54" s="29">
        <f t="shared" si="7"/>
        <v>0</v>
      </c>
      <c r="G54" s="1"/>
      <c r="H54" s="29">
        <v>0</v>
      </c>
      <c r="I54" s="1"/>
      <c r="J54" s="29">
        <v>0</v>
      </c>
      <c r="K54" s="1"/>
      <c r="L54" s="29">
        <v>0</v>
      </c>
      <c r="M54" s="20" t="s">
        <v>1297</v>
      </c>
      <c r="P54" t="s">
        <v>166</v>
      </c>
    </row>
    <row r="55" spans="1:61" ht="18" customHeight="1">
      <c r="A55" s="11" t="s">
        <v>419</v>
      </c>
      <c r="B55" s="2" t="s">
        <v>1297</v>
      </c>
      <c r="C55" s="2">
        <v>0.1</v>
      </c>
      <c r="D55" s="2" t="s">
        <v>1203</v>
      </c>
      <c r="E55" s="29">
        <f>G55+I55+K55</f>
        <v>0</v>
      </c>
      <c r="F55" s="29">
        <f t="shared" si="7"/>
        <v>0</v>
      </c>
      <c r="G55" s="29"/>
      <c r="H55" s="29"/>
      <c r="I55" s="29"/>
      <c r="J55" s="29">
        <f>TRUNC(I55*C55,0)</f>
        <v>0</v>
      </c>
      <c r="K55" s="29"/>
      <c r="L55" s="29"/>
      <c r="M55" s="20" t="s">
        <v>1297</v>
      </c>
      <c r="P55" t="s">
        <v>1113</v>
      </c>
      <c r="R55" t="s">
        <v>707</v>
      </c>
      <c r="BI55" s="34" t="str">
        <f>HYPERLINK("#노임!A7","L029 →")</f>
        <v>L029 →</v>
      </c>
    </row>
    <row r="56" spans="1:61" ht="18" customHeight="1">
      <c r="A56" s="11" t="s">
        <v>395</v>
      </c>
      <c r="B56" s="2" t="s">
        <v>1297</v>
      </c>
      <c r="C56" s="2">
        <v>0.05</v>
      </c>
      <c r="D56" s="2" t="s">
        <v>1203</v>
      </c>
      <c r="E56" s="29">
        <f>G56+I56+K56</f>
        <v>0</v>
      </c>
      <c r="F56" s="29">
        <f t="shared" si="7"/>
        <v>0</v>
      </c>
      <c r="G56" s="29"/>
      <c r="H56" s="29"/>
      <c r="I56" s="29"/>
      <c r="J56" s="29">
        <f>TRUNC(I56*C56,0)</f>
        <v>0</v>
      </c>
      <c r="K56" s="29"/>
      <c r="L56" s="29"/>
      <c r="M56" s="20" t="s">
        <v>1297</v>
      </c>
      <c r="N56" t="s">
        <v>365</v>
      </c>
      <c r="P56" t="s">
        <v>789</v>
      </c>
      <c r="R56" t="s">
        <v>239</v>
      </c>
      <c r="BI56" s="34" t="str">
        <f>HYPERLINK("#노임!A10","L085 →")</f>
        <v>L085 →</v>
      </c>
    </row>
    <row r="57" spans="1:61" ht="18" customHeight="1">
      <c r="A57" s="11" t="s">
        <v>670</v>
      </c>
      <c r="B57" s="2" t="s">
        <v>149</v>
      </c>
      <c r="C57" s="2">
        <v>0.45</v>
      </c>
      <c r="D57" s="2" t="s">
        <v>1067</v>
      </c>
      <c r="E57" s="29">
        <f>G57+I57+K57</f>
        <v>0</v>
      </c>
      <c r="F57" s="29">
        <f t="shared" si="7"/>
        <v>0</v>
      </c>
      <c r="G57" s="29"/>
      <c r="H57" s="29">
        <f>TRUNC(G57*C57,0)</f>
        <v>0</v>
      </c>
      <c r="I57" s="29"/>
      <c r="J57" s="29">
        <f>TRUNC(I57*C57,0)</f>
        <v>0</v>
      </c>
      <c r="K57" s="29"/>
      <c r="L57" s="29">
        <f>TRUNC(K57*C57,0)</f>
        <v>0</v>
      </c>
      <c r="M57" s="20" t="s">
        <v>1297</v>
      </c>
      <c r="P57" t="s">
        <v>100</v>
      </c>
      <c r="R57" t="s">
        <v>46</v>
      </c>
      <c r="AA57" s="41" t="s">
        <v>939</v>
      </c>
      <c r="AB57" s="8">
        <f>(일위대가_호표!J55+일위대가_호표!J56)*(2/100)</f>
        <v>0</v>
      </c>
      <c r="AC57" s="41" t="s">
        <v>1063</v>
      </c>
      <c r="AD57" s="7">
        <f>$AB57</f>
        <v>0</v>
      </c>
      <c r="BI57" s="34" t="str">
        <f>HYPERLINK("#중기사용료목록!A15","E0021050005 →")</f>
        <v>E0021050005 →</v>
      </c>
    </row>
    <row r="58" spans="1:24" ht="18" customHeight="1">
      <c r="A58" s="11" t="s">
        <v>272</v>
      </c>
      <c r="B58" s="2" t="s">
        <v>721</v>
      </c>
      <c r="C58" s="2">
        <v>2</v>
      </c>
      <c r="D58" s="2" t="s">
        <v>266</v>
      </c>
      <c r="E58" s="29">
        <f>G58+I58+K58</f>
        <v>0</v>
      </c>
      <c r="F58" s="29">
        <f t="shared" si="7"/>
        <v>0</v>
      </c>
      <c r="G58" s="1"/>
      <c r="H58" s="29">
        <f>TRUNC(((J55+J56)*(2/100)),0)</f>
        <v>0</v>
      </c>
      <c r="I58" s="1"/>
      <c r="J58" s="29">
        <v>0</v>
      </c>
      <c r="K58" s="1"/>
      <c r="L58" s="29">
        <v>0</v>
      </c>
      <c r="M58" s="20" t="s">
        <v>1297</v>
      </c>
      <c r="P58" t="s">
        <v>450</v>
      </c>
      <c r="R58" t="s">
        <v>1083</v>
      </c>
      <c r="X58" t="s">
        <v>860</v>
      </c>
    </row>
    <row r="59" spans="1:13" ht="18" customHeight="1">
      <c r="A59" s="5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56"/>
    </row>
    <row r="60" spans="1:15" ht="18" customHeight="1">
      <c r="A60" s="11" t="s">
        <v>1092</v>
      </c>
      <c r="B60" s="2" t="s">
        <v>642</v>
      </c>
      <c r="C60" s="2">
        <v>1</v>
      </c>
      <c r="D60" s="2" t="s">
        <v>807</v>
      </c>
      <c r="F60" s="29">
        <f>H60+J60+L60</f>
        <v>0</v>
      </c>
      <c r="H60" s="29">
        <f>TRUNC(H62+H63+H64,0)</f>
        <v>0</v>
      </c>
      <c r="J60" s="29">
        <f>TRUNC(J62+J63+J64,0)</f>
        <v>0</v>
      </c>
      <c r="L60" s="29">
        <f>TRUNC(L62+L63+L64,0)</f>
        <v>0</v>
      </c>
      <c r="M60" s="20" t="s">
        <v>1297</v>
      </c>
      <c r="O60" t="s">
        <v>1078</v>
      </c>
    </row>
    <row r="61" spans="1:18" ht="18" customHeight="1">
      <c r="A61" s="11" t="s">
        <v>618</v>
      </c>
      <c r="B61" s="2" t="s">
        <v>991</v>
      </c>
      <c r="C61" s="2"/>
      <c r="D61" s="2" t="s">
        <v>1297</v>
      </c>
      <c r="E61" s="29">
        <f>G61+I61+K61</f>
        <v>0</v>
      </c>
      <c r="F61" s="29">
        <f>H61+J61+L61</f>
        <v>0</v>
      </c>
      <c r="G61" s="1"/>
      <c r="H61" s="29">
        <v>0</v>
      </c>
      <c r="I61" s="1"/>
      <c r="J61" s="29">
        <v>0</v>
      </c>
      <c r="K61" s="1"/>
      <c r="L61" s="29">
        <v>0</v>
      </c>
      <c r="M61" s="20" t="s">
        <v>1297</v>
      </c>
      <c r="P61" t="s">
        <v>166</v>
      </c>
    </row>
    <row r="62" spans="1:61" ht="18" customHeight="1">
      <c r="A62" s="11" t="s">
        <v>257</v>
      </c>
      <c r="B62" s="2" t="s">
        <v>957</v>
      </c>
      <c r="C62" s="2">
        <v>0.04</v>
      </c>
      <c r="D62" s="2" t="s">
        <v>1203</v>
      </c>
      <c r="E62" s="29">
        <f>G62+I62+K62</f>
        <v>0</v>
      </c>
      <c r="F62" s="29">
        <f>H62+J62+L62</f>
        <v>0</v>
      </c>
      <c r="G62" s="29"/>
      <c r="H62" s="29"/>
      <c r="I62" s="29"/>
      <c r="J62" s="29">
        <f>TRUNC(I62*C62,0)</f>
        <v>0</v>
      </c>
      <c r="K62" s="29"/>
      <c r="L62" s="29"/>
      <c r="M62" s="20" t="s">
        <v>1297</v>
      </c>
      <c r="P62" t="s">
        <v>1113</v>
      </c>
      <c r="R62" t="s">
        <v>707</v>
      </c>
      <c r="BI62" s="34" t="str">
        <f>HYPERLINK("#노임!A7","L029 →")</f>
        <v>L029 →</v>
      </c>
    </row>
    <row r="63" spans="1:61" ht="18" customHeight="1">
      <c r="A63" s="11" t="s">
        <v>395</v>
      </c>
      <c r="B63" s="2" t="s">
        <v>1297</v>
      </c>
      <c r="C63" s="2">
        <v>0.02</v>
      </c>
      <c r="D63" s="2" t="s">
        <v>1203</v>
      </c>
      <c r="E63" s="29">
        <f>G63+I63+K63</f>
        <v>0</v>
      </c>
      <c r="F63" s="29">
        <f>H63+J63+L63</f>
        <v>0</v>
      </c>
      <c r="G63" s="29"/>
      <c r="H63" s="29"/>
      <c r="I63" s="29"/>
      <c r="J63" s="29">
        <f>TRUNC(I63*C63,0)</f>
        <v>0</v>
      </c>
      <c r="K63" s="29"/>
      <c r="L63" s="29"/>
      <c r="M63" s="20" t="s">
        <v>1297</v>
      </c>
      <c r="N63" t="s">
        <v>365</v>
      </c>
      <c r="P63" t="s">
        <v>789</v>
      </c>
      <c r="R63" t="s">
        <v>239</v>
      </c>
      <c r="BI63" s="34" t="str">
        <f>HYPERLINK("#노임!A10","L085 →")</f>
        <v>L085 →</v>
      </c>
    </row>
    <row r="64" spans="1:61" ht="18" customHeight="1">
      <c r="A64" s="11" t="s">
        <v>670</v>
      </c>
      <c r="B64" s="2" t="s">
        <v>1111</v>
      </c>
      <c r="C64" s="2">
        <v>0.32</v>
      </c>
      <c r="D64" s="2" t="s">
        <v>1067</v>
      </c>
      <c r="E64" s="29">
        <f>G64+I64+K64</f>
        <v>0</v>
      </c>
      <c r="F64" s="29">
        <f>H64+J64+L64</f>
        <v>0</v>
      </c>
      <c r="G64" s="29"/>
      <c r="H64" s="29">
        <f>TRUNC(G64*C64,0)</f>
        <v>0</v>
      </c>
      <c r="I64" s="29"/>
      <c r="J64" s="29">
        <f>TRUNC(I64*C64,0)</f>
        <v>0</v>
      </c>
      <c r="K64" s="29"/>
      <c r="L64" s="29">
        <f>TRUNC(K64*C64,0)</f>
        <v>0</v>
      </c>
      <c r="M64" s="20" t="s">
        <v>1297</v>
      </c>
      <c r="P64" t="s">
        <v>450</v>
      </c>
      <c r="R64" t="s">
        <v>982</v>
      </c>
      <c r="BI64" s="34" t="str">
        <f>HYPERLINK("#중기사용료목록!A16","E0021050010 →")</f>
        <v>E0021050010 →</v>
      </c>
    </row>
    <row r="65" spans="1:13" ht="18" customHeight="1">
      <c r="A65" s="53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56"/>
    </row>
    <row r="66" spans="1:15" ht="18" customHeight="1">
      <c r="A66" s="11" t="s">
        <v>1008</v>
      </c>
      <c r="B66" s="2" t="s">
        <v>241</v>
      </c>
      <c r="C66" s="2">
        <v>1</v>
      </c>
      <c r="D66" s="2" t="s">
        <v>807</v>
      </c>
      <c r="F66" s="29">
        <f>H66+J66+L66</f>
        <v>0</v>
      </c>
      <c r="H66" s="29">
        <f>TRUNC(H68+H69+H70,0)</f>
        <v>0</v>
      </c>
      <c r="J66" s="29">
        <f>TRUNC(J68+J69+J70,0)</f>
        <v>0</v>
      </c>
      <c r="L66" s="29">
        <f>TRUNC(L68+L69+L70,0)</f>
        <v>0</v>
      </c>
      <c r="M66" s="20" t="s">
        <v>1297</v>
      </c>
      <c r="O66" t="s">
        <v>579</v>
      </c>
    </row>
    <row r="67" spans="1:18" ht="18" customHeight="1">
      <c r="A67" s="11" t="s">
        <v>373</v>
      </c>
      <c r="B67" s="2" t="s">
        <v>524</v>
      </c>
      <c r="C67" s="2"/>
      <c r="D67" s="2" t="s">
        <v>1297</v>
      </c>
      <c r="E67" s="29">
        <f>G67+I67+K67</f>
        <v>0</v>
      </c>
      <c r="F67" s="29">
        <f>H67+J67+L67</f>
        <v>0</v>
      </c>
      <c r="G67" s="1"/>
      <c r="H67" s="29">
        <v>0</v>
      </c>
      <c r="I67" s="1"/>
      <c r="J67" s="29">
        <v>0</v>
      </c>
      <c r="K67" s="1"/>
      <c r="L67" s="29">
        <v>0</v>
      </c>
      <c r="M67" s="20" t="s">
        <v>1297</v>
      </c>
      <c r="P67" t="s">
        <v>166</v>
      </c>
    </row>
    <row r="68" spans="1:61" ht="18" customHeight="1">
      <c r="A68" s="11" t="s">
        <v>257</v>
      </c>
      <c r="B68" s="2" t="s">
        <v>957</v>
      </c>
      <c r="C68" s="2">
        <v>0.1</v>
      </c>
      <c r="D68" s="2" t="s">
        <v>1203</v>
      </c>
      <c r="E68" s="29">
        <f>G68+I68+K68</f>
        <v>0</v>
      </c>
      <c r="F68" s="29">
        <f>H68+J68+L68</f>
        <v>0</v>
      </c>
      <c r="G68" s="29"/>
      <c r="H68" s="29"/>
      <c r="I68" s="29"/>
      <c r="J68" s="29">
        <f>TRUNC(I68*C68,0)</f>
        <v>0</v>
      </c>
      <c r="K68" s="29"/>
      <c r="L68" s="29"/>
      <c r="M68" s="20" t="s">
        <v>1297</v>
      </c>
      <c r="P68" t="s">
        <v>1113</v>
      </c>
      <c r="R68" t="s">
        <v>707</v>
      </c>
      <c r="BI68" s="34" t="str">
        <f>HYPERLINK("#노임!A7","L029 →")</f>
        <v>L029 →</v>
      </c>
    </row>
    <row r="69" spans="1:61" ht="18" customHeight="1">
      <c r="A69" s="11" t="s">
        <v>395</v>
      </c>
      <c r="B69" s="2" t="s">
        <v>1297</v>
      </c>
      <c r="C69" s="2">
        <v>0.1</v>
      </c>
      <c r="D69" s="2" t="s">
        <v>1203</v>
      </c>
      <c r="E69" s="29">
        <f>G69+I69+K69</f>
        <v>0</v>
      </c>
      <c r="F69" s="29">
        <f>H69+J69+L69</f>
        <v>0</v>
      </c>
      <c r="G69" s="29"/>
      <c r="H69" s="29"/>
      <c r="I69" s="29"/>
      <c r="J69" s="29">
        <f>TRUNC(I69*C69,0)</f>
        <v>0</v>
      </c>
      <c r="K69" s="29"/>
      <c r="L69" s="29"/>
      <c r="M69" s="20" t="s">
        <v>1297</v>
      </c>
      <c r="N69" t="s">
        <v>365</v>
      </c>
      <c r="P69" t="s">
        <v>789</v>
      </c>
      <c r="R69" t="s">
        <v>239</v>
      </c>
      <c r="AA69" s="41" t="s">
        <v>403</v>
      </c>
      <c r="AB69" s="8">
        <f>(일위대가_호표!J68+일위대가_호표!J69)*(일위대가_호표!C70*전역변수!C5)/100</f>
        <v>0</v>
      </c>
      <c r="AC69" s="41" t="s">
        <v>678</v>
      </c>
      <c r="AD69" s="7">
        <f>$AB69</f>
        <v>0</v>
      </c>
      <c r="BI69" s="34" t="str">
        <f>HYPERLINK("#노임!A10","L085 →")</f>
        <v>L085 →</v>
      </c>
    </row>
    <row r="70" spans="1:24" ht="18" customHeight="1">
      <c r="A70" s="11" t="s">
        <v>593</v>
      </c>
      <c r="B70" s="2" t="s">
        <v>721</v>
      </c>
      <c r="C70" s="2">
        <v>5</v>
      </c>
      <c r="D70" s="2" t="s">
        <v>266</v>
      </c>
      <c r="E70" s="29">
        <f>G70+I70+K70</f>
        <v>0</v>
      </c>
      <c r="F70" s="29">
        <f>H70+J70+L70</f>
        <v>0</v>
      </c>
      <c r="G70" s="1"/>
      <c r="H70" s="29">
        <v>0</v>
      </c>
      <c r="I70" s="1"/>
      <c r="J70" s="29">
        <v>0</v>
      </c>
      <c r="K70" s="1"/>
      <c r="L70" s="29">
        <f>TRUNC(((J68+J69)*(C70*전역변수!C5)/100),0)</f>
        <v>0</v>
      </c>
      <c r="M70" s="20" t="s">
        <v>1297</v>
      </c>
      <c r="P70" t="s">
        <v>450</v>
      </c>
      <c r="R70" t="s">
        <v>1083</v>
      </c>
      <c r="X70" t="s">
        <v>859</v>
      </c>
    </row>
    <row r="71" spans="1:13" ht="18" customHeight="1">
      <c r="A71" s="5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56"/>
    </row>
    <row r="72" spans="1:15" ht="18" customHeight="1">
      <c r="A72" s="11" t="s">
        <v>1195</v>
      </c>
      <c r="B72" s="2" t="s">
        <v>241</v>
      </c>
      <c r="C72" s="2">
        <v>1</v>
      </c>
      <c r="D72" s="2" t="s">
        <v>807</v>
      </c>
      <c r="F72" s="29">
        <f aca="true" t="shared" si="8" ref="F72:F77">H72+J72+L72</f>
        <v>0</v>
      </c>
      <c r="H72" s="29">
        <f>TRUNC(H74+H75+H76+H77,0)</f>
        <v>0</v>
      </c>
      <c r="J72" s="29">
        <f>TRUNC(J74+J75+J76+J77,0)</f>
        <v>0</v>
      </c>
      <c r="L72" s="29">
        <f>TRUNC(L74+L75+L76+L77,0)</f>
        <v>0</v>
      </c>
      <c r="M72" s="20" t="s">
        <v>1297</v>
      </c>
      <c r="O72" t="s">
        <v>315</v>
      </c>
    </row>
    <row r="73" spans="1:18" ht="18" customHeight="1">
      <c r="A73" s="11" t="s">
        <v>584</v>
      </c>
      <c r="B73" s="2" t="s">
        <v>1280</v>
      </c>
      <c r="C73" s="2"/>
      <c r="D73" s="2" t="s">
        <v>1297</v>
      </c>
      <c r="E73" s="29">
        <f>G73+I73+K73</f>
        <v>0</v>
      </c>
      <c r="F73" s="29">
        <f t="shared" si="8"/>
        <v>0</v>
      </c>
      <c r="G73" s="1"/>
      <c r="H73" s="29">
        <v>0</v>
      </c>
      <c r="I73" s="1"/>
      <c r="J73" s="29">
        <v>0</v>
      </c>
      <c r="K73" s="1"/>
      <c r="L73" s="29">
        <v>0</v>
      </c>
      <c r="M73" s="20" t="s">
        <v>1297</v>
      </c>
      <c r="P73" t="s">
        <v>166</v>
      </c>
    </row>
    <row r="74" spans="1:61" ht="18" customHeight="1">
      <c r="A74" s="11" t="s">
        <v>257</v>
      </c>
      <c r="B74" s="2" t="s">
        <v>957</v>
      </c>
      <c r="C74" s="2">
        <v>0.04</v>
      </c>
      <c r="D74" s="2" t="s">
        <v>1203</v>
      </c>
      <c r="E74" s="29">
        <f>G74+I74+K74</f>
        <v>0</v>
      </c>
      <c r="F74" s="29">
        <f t="shared" si="8"/>
        <v>0</v>
      </c>
      <c r="G74" s="29"/>
      <c r="H74" s="29"/>
      <c r="I74" s="29"/>
      <c r="J74" s="29">
        <f>TRUNC(I74*C74,0)</f>
        <v>0</v>
      </c>
      <c r="K74" s="29"/>
      <c r="L74" s="29"/>
      <c r="M74" s="20" t="s">
        <v>1297</v>
      </c>
      <c r="P74" t="s">
        <v>1113</v>
      </c>
      <c r="R74" t="s">
        <v>707</v>
      </c>
      <c r="BI74" s="34" t="str">
        <f>HYPERLINK("#노임!A7","L029 →")</f>
        <v>L029 →</v>
      </c>
    </row>
    <row r="75" spans="1:61" ht="18" customHeight="1">
      <c r="A75" s="11" t="s">
        <v>395</v>
      </c>
      <c r="B75" s="2" t="s">
        <v>1297</v>
      </c>
      <c r="C75" s="2">
        <v>0.02</v>
      </c>
      <c r="D75" s="2" t="s">
        <v>1203</v>
      </c>
      <c r="E75" s="29">
        <f>G75+I75+K75</f>
        <v>0</v>
      </c>
      <c r="F75" s="29">
        <f t="shared" si="8"/>
        <v>0</v>
      </c>
      <c r="G75" s="29"/>
      <c r="H75" s="29"/>
      <c r="I75" s="29"/>
      <c r="J75" s="29">
        <f>TRUNC(I75*C75,0)</f>
        <v>0</v>
      </c>
      <c r="K75" s="29"/>
      <c r="L75" s="29"/>
      <c r="M75" s="20" t="s">
        <v>1297</v>
      </c>
      <c r="N75" t="s">
        <v>365</v>
      </c>
      <c r="P75" t="s">
        <v>789</v>
      </c>
      <c r="R75" t="s">
        <v>239</v>
      </c>
      <c r="AA75" s="41" t="s">
        <v>939</v>
      </c>
      <c r="AB75" s="8">
        <f>(일위대가_호표!J74+일위대가_호표!J75)*(일위대가_호표!C76*전역변수!C5)/100</f>
        <v>0</v>
      </c>
      <c r="AC75" s="41" t="s">
        <v>1063</v>
      </c>
      <c r="AD75" s="7">
        <f>$AB75</f>
        <v>0</v>
      </c>
      <c r="BI75" s="34" t="str">
        <f>HYPERLINK("#노임!A10","L085 →")</f>
        <v>L085 →</v>
      </c>
    </row>
    <row r="76" spans="1:30" ht="18" customHeight="1">
      <c r="A76" s="11" t="s">
        <v>272</v>
      </c>
      <c r="B76" s="2" t="s">
        <v>721</v>
      </c>
      <c r="C76" s="2">
        <v>2</v>
      </c>
      <c r="D76" s="2" t="s">
        <v>266</v>
      </c>
      <c r="E76" s="29">
        <f>G76+I76+K76</f>
        <v>0</v>
      </c>
      <c r="F76" s="29">
        <f t="shared" si="8"/>
        <v>0</v>
      </c>
      <c r="G76" s="1"/>
      <c r="H76" s="29">
        <f>TRUNC(((J74+J75)*(C76*전역변수!C5)/100),0)</f>
        <v>0</v>
      </c>
      <c r="I76" s="1"/>
      <c r="J76" s="29">
        <v>0</v>
      </c>
      <c r="K76" s="1"/>
      <c r="L76" s="29">
        <v>0</v>
      </c>
      <c r="M76" s="20" t="s">
        <v>1297</v>
      </c>
      <c r="P76" t="s">
        <v>450</v>
      </c>
      <c r="R76" t="s">
        <v>1083</v>
      </c>
      <c r="X76" t="s">
        <v>463</v>
      </c>
      <c r="AA76" s="41" t="s">
        <v>145</v>
      </c>
      <c r="AB76" s="8">
        <f>(일위대가_호표!J74+일위대가_호표!J75+(일위대가_호표!J76*전역변수!C5))*(일위대가_호표!C77*전역변수!C5)/100</f>
        <v>0</v>
      </c>
      <c r="AC76" s="41" t="s">
        <v>491</v>
      </c>
      <c r="AD76" s="7">
        <f>$AB76</f>
        <v>0</v>
      </c>
    </row>
    <row r="77" spans="1:24" ht="18" customHeight="1">
      <c r="A77" s="11" t="s">
        <v>819</v>
      </c>
      <c r="B77" s="2" t="s">
        <v>1297</v>
      </c>
      <c r="C77" s="2">
        <v>30</v>
      </c>
      <c r="D77" s="2" t="s">
        <v>266</v>
      </c>
      <c r="E77" s="29">
        <f>G77+I77+K77</f>
        <v>0</v>
      </c>
      <c r="F77" s="29">
        <f t="shared" si="8"/>
        <v>0</v>
      </c>
      <c r="G77" s="1"/>
      <c r="H77" s="29">
        <v>0</v>
      </c>
      <c r="I77" s="1"/>
      <c r="J77" s="29">
        <f>TRUNC(((J74+J75+(J76*전역변수!C5))*(C77*전역변수!C5)/100),0)</f>
        <v>0</v>
      </c>
      <c r="K77" s="1"/>
      <c r="L77" s="29">
        <v>0</v>
      </c>
      <c r="M77" s="20" t="s">
        <v>1297</v>
      </c>
      <c r="P77" t="s">
        <v>139</v>
      </c>
      <c r="R77" t="s">
        <v>1083</v>
      </c>
      <c r="X77" t="s">
        <v>181</v>
      </c>
    </row>
    <row r="78" spans="1:13" ht="18" customHeight="1">
      <c r="A78" s="5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56"/>
    </row>
    <row r="79" spans="1:15" ht="18" customHeight="1">
      <c r="A79" s="11" t="s">
        <v>551</v>
      </c>
      <c r="B79" s="2" t="s">
        <v>632</v>
      </c>
      <c r="C79" s="2">
        <v>1</v>
      </c>
      <c r="D79" s="2" t="s">
        <v>807</v>
      </c>
      <c r="F79" s="29">
        <f aca="true" t="shared" si="9" ref="F79:F84">H79+J79+L79</f>
        <v>0</v>
      </c>
      <c r="H79" s="29">
        <f>TRUNC(H80+H81+H82+H83+H84,0)</f>
        <v>0</v>
      </c>
      <c r="J79" s="29">
        <f>TRUNC(J80+J81+J82+J83+J84,0)</f>
        <v>0</v>
      </c>
      <c r="L79" s="29">
        <f>TRUNC(L80+L81+L82+L83+L84,0)</f>
        <v>0</v>
      </c>
      <c r="M79" s="20" t="s">
        <v>1297</v>
      </c>
      <c r="O79" t="s">
        <v>845</v>
      </c>
    </row>
    <row r="80" spans="1:61" ht="18" customHeight="1">
      <c r="A80" s="11" t="s">
        <v>660</v>
      </c>
      <c r="B80" s="2" t="s">
        <v>1223</v>
      </c>
      <c r="C80" s="2">
        <v>1</v>
      </c>
      <c r="D80" s="2" t="s">
        <v>580</v>
      </c>
      <c r="E80" s="29">
        <f>G80+I80+K80</f>
        <v>0</v>
      </c>
      <c r="F80" s="29">
        <f t="shared" si="9"/>
        <v>0</v>
      </c>
      <c r="G80" s="29"/>
      <c r="H80" s="29">
        <f>TRUNC(G80*C80,0)</f>
        <v>0</v>
      </c>
      <c r="I80" s="29"/>
      <c r="J80" s="29"/>
      <c r="K80" s="29"/>
      <c r="L80" s="29"/>
      <c r="M80" s="20" t="s">
        <v>1297</v>
      </c>
      <c r="P80" t="s">
        <v>166</v>
      </c>
      <c r="R80" t="s">
        <v>644</v>
      </c>
      <c r="AA80" s="41" t="s">
        <v>148</v>
      </c>
      <c r="AB80" s="8">
        <f>일위대가_호표!H80*(일위대가_호표!C81*전역변수!C5)/100</f>
        <v>0</v>
      </c>
      <c r="AC80" s="41" t="s">
        <v>491</v>
      </c>
      <c r="AD80" s="7">
        <f>$AB80</f>
        <v>0</v>
      </c>
      <c r="BI80" s="34" t="str">
        <f>HYPERLINK("#자재조서!A27","MZAKP00350 →")</f>
        <v>MZAKP00350 →</v>
      </c>
    </row>
    <row r="81" spans="1:24" ht="18" customHeight="1">
      <c r="A81" s="11" t="s">
        <v>659</v>
      </c>
      <c r="B81" s="2" t="s">
        <v>1072</v>
      </c>
      <c r="C81" s="2">
        <v>5</v>
      </c>
      <c r="D81" s="2" t="s">
        <v>266</v>
      </c>
      <c r="E81" s="29">
        <f>G81+I81+K81</f>
        <v>0</v>
      </c>
      <c r="F81" s="29">
        <f t="shared" si="9"/>
        <v>0</v>
      </c>
      <c r="G81" s="1"/>
      <c r="H81" s="29">
        <v>0</v>
      </c>
      <c r="I81" s="1"/>
      <c r="J81" s="29">
        <f>TRUNC((H80*(C81*전역변수!C5)/100),0)</f>
        <v>0</v>
      </c>
      <c r="K81" s="1"/>
      <c r="L81" s="29">
        <v>0</v>
      </c>
      <c r="M81" s="20" t="s">
        <v>1297</v>
      </c>
      <c r="P81" t="s">
        <v>1113</v>
      </c>
      <c r="R81" t="s">
        <v>1083</v>
      </c>
      <c r="X81" t="s">
        <v>147</v>
      </c>
    </row>
    <row r="82" spans="1:61" ht="18" customHeight="1">
      <c r="A82" s="11" t="s">
        <v>1188</v>
      </c>
      <c r="B82" s="2" t="s">
        <v>23</v>
      </c>
      <c r="C82" s="2">
        <v>0.0027</v>
      </c>
      <c r="D82" s="2" t="s">
        <v>927</v>
      </c>
      <c r="E82" s="29">
        <f>G82+I82+K82</f>
        <v>0</v>
      </c>
      <c r="F82" s="29">
        <f t="shared" si="9"/>
        <v>0</v>
      </c>
      <c r="G82" s="29"/>
      <c r="H82" s="29">
        <f>TRUNC(G82*C82,0)</f>
        <v>0</v>
      </c>
      <c r="I82" s="29"/>
      <c r="J82" s="29"/>
      <c r="K82" s="29"/>
      <c r="L82" s="29"/>
      <c r="M82" s="20" t="s">
        <v>1297</v>
      </c>
      <c r="P82" t="s">
        <v>789</v>
      </c>
      <c r="R82" t="s">
        <v>192</v>
      </c>
      <c r="BI82" s="34" t="str">
        <f>HYPERLINK("#자재조서!A11","M08825061 →")</f>
        <v>M08825061 →</v>
      </c>
    </row>
    <row r="83" spans="1:61" ht="18" customHeight="1">
      <c r="A83" s="11" t="s">
        <v>41</v>
      </c>
      <c r="B83" s="2" t="s">
        <v>905</v>
      </c>
      <c r="C83" s="2">
        <v>0.76</v>
      </c>
      <c r="D83" s="2" t="s">
        <v>757</v>
      </c>
      <c r="E83" s="29">
        <f>G83+I83+K83</f>
        <v>0</v>
      </c>
      <c r="F83" s="29">
        <f t="shared" si="9"/>
        <v>0</v>
      </c>
      <c r="G83" s="29"/>
      <c r="H83" s="29">
        <f>TRUNC(G83*C83,0)</f>
        <v>0</v>
      </c>
      <c r="I83" s="29"/>
      <c r="J83" s="29"/>
      <c r="K83" s="29"/>
      <c r="L83" s="29"/>
      <c r="M83" s="20" t="s">
        <v>1297</v>
      </c>
      <c r="P83" t="s">
        <v>450</v>
      </c>
      <c r="R83" t="s">
        <v>688</v>
      </c>
      <c r="BI83" s="34" t="str">
        <f>HYPERLINK("#자재조서!A22","MZA51500 →")</f>
        <v>MZA51500 →</v>
      </c>
    </row>
    <row r="84" spans="1:61" ht="18" customHeight="1">
      <c r="A84" s="11" t="s">
        <v>1009</v>
      </c>
      <c r="B84" s="2" t="s">
        <v>90</v>
      </c>
      <c r="C84" s="2">
        <v>0.58</v>
      </c>
      <c r="D84" s="2" t="s">
        <v>940</v>
      </c>
      <c r="E84" s="29">
        <f>G84+I84+K84</f>
        <v>0</v>
      </c>
      <c r="F84" s="29">
        <f t="shared" si="9"/>
        <v>0</v>
      </c>
      <c r="G84" s="29"/>
      <c r="H84" s="29">
        <f>TRUNC(G84*C84,0)</f>
        <v>0</v>
      </c>
      <c r="I84" s="29"/>
      <c r="J84" s="29">
        <f>TRUNC(I84*C84,0)</f>
        <v>0</v>
      </c>
      <c r="K84" s="29"/>
      <c r="L84" s="29">
        <f>TRUNC(K84*C84,0)</f>
        <v>0</v>
      </c>
      <c r="M84" s="20" t="s">
        <v>1297</v>
      </c>
      <c r="P84" t="s">
        <v>139</v>
      </c>
      <c r="R84" t="s">
        <v>78</v>
      </c>
      <c r="T84" t="s">
        <v>802</v>
      </c>
      <c r="BI84" s="34" t="str">
        <f>HYPERLINK("#일위대가목록!A33","USCHE024 →")</f>
        <v>USCHE024 →</v>
      </c>
    </row>
    <row r="85" spans="1:13" ht="18" customHeight="1">
      <c r="A85" s="53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56"/>
    </row>
    <row r="86" spans="1:15" ht="18" customHeight="1">
      <c r="A86" s="11" t="s">
        <v>787</v>
      </c>
      <c r="B86" s="2" t="s">
        <v>107</v>
      </c>
      <c r="C86" s="2">
        <v>1</v>
      </c>
      <c r="D86" s="2" t="s">
        <v>580</v>
      </c>
      <c r="F86" s="29">
        <f>H86+J86+L86</f>
        <v>0</v>
      </c>
      <c r="H86" s="29">
        <f>TRUNC(H87+H88,0)</f>
        <v>0</v>
      </c>
      <c r="J86" s="29">
        <f>TRUNC(J87+J88,0)</f>
        <v>0</v>
      </c>
      <c r="L86" s="29">
        <f>TRUNC(L87+L88,0)</f>
        <v>0</v>
      </c>
      <c r="M86" s="20" t="s">
        <v>1297</v>
      </c>
      <c r="O86" t="s">
        <v>851</v>
      </c>
    </row>
    <row r="87" spans="1:61" ht="18" customHeight="1">
      <c r="A87" s="11" t="s">
        <v>257</v>
      </c>
      <c r="B87" s="2" t="s">
        <v>957</v>
      </c>
      <c r="C87" s="2">
        <v>2.55</v>
      </c>
      <c r="D87" s="2" t="s">
        <v>1203</v>
      </c>
      <c r="E87" s="29">
        <f>G87+I87+K87</f>
        <v>0</v>
      </c>
      <c r="F87" s="29">
        <f>H87+J87+L87</f>
        <v>0</v>
      </c>
      <c r="G87" s="29"/>
      <c r="H87" s="29"/>
      <c r="I87" s="29"/>
      <c r="J87" s="29">
        <f>TRUNC(I87*C87,0)</f>
        <v>0</v>
      </c>
      <c r="K87" s="29"/>
      <c r="L87" s="29"/>
      <c r="M87" s="20" t="s">
        <v>1297</v>
      </c>
      <c r="P87" t="s">
        <v>1113</v>
      </c>
      <c r="R87" t="s">
        <v>707</v>
      </c>
      <c r="BI87" s="34" t="str">
        <f>HYPERLINK("#노임!A7","L029 →")</f>
        <v>L029 →</v>
      </c>
    </row>
    <row r="88" spans="1:61" ht="18" customHeight="1">
      <c r="A88" s="11" t="s">
        <v>395</v>
      </c>
      <c r="B88" s="2" t="s">
        <v>1297</v>
      </c>
      <c r="C88" s="2">
        <v>2</v>
      </c>
      <c r="D88" s="2" t="s">
        <v>1203</v>
      </c>
      <c r="E88" s="29">
        <f>G88+I88+K88</f>
        <v>0</v>
      </c>
      <c r="F88" s="29">
        <f>H88+J88+L88</f>
        <v>0</v>
      </c>
      <c r="G88" s="29"/>
      <c r="H88" s="29"/>
      <c r="I88" s="29"/>
      <c r="J88" s="29">
        <f>TRUNC(I88*C88,0)</f>
        <v>0</v>
      </c>
      <c r="K88" s="29"/>
      <c r="L88" s="29"/>
      <c r="M88" s="20" t="s">
        <v>1297</v>
      </c>
      <c r="N88" t="s">
        <v>365</v>
      </c>
      <c r="P88" t="s">
        <v>784</v>
      </c>
      <c r="R88" t="s">
        <v>239</v>
      </c>
      <c r="BI88" s="34" t="str">
        <f>HYPERLINK("#노임!A10","L085 →")</f>
        <v>L085 →</v>
      </c>
    </row>
    <row r="89" spans="1:13" ht="18" customHeight="1">
      <c r="A89" s="53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56"/>
    </row>
    <row r="90" spans="1:15" ht="18" customHeight="1">
      <c r="A90" s="11" t="s">
        <v>51</v>
      </c>
      <c r="B90" s="2" t="s">
        <v>240</v>
      </c>
      <c r="C90" s="2">
        <v>1</v>
      </c>
      <c r="D90" s="2" t="s">
        <v>580</v>
      </c>
      <c r="F90" s="29">
        <f>H90+J90+L90</f>
        <v>0</v>
      </c>
      <c r="H90" s="29">
        <f>TRUNC(H91,0)</f>
        <v>0</v>
      </c>
      <c r="J90" s="29">
        <f>TRUNC(J91,0)</f>
        <v>0</v>
      </c>
      <c r="L90" s="29">
        <f>TRUNC(L91,0)</f>
        <v>0</v>
      </c>
      <c r="M90" s="20" t="s">
        <v>1297</v>
      </c>
      <c r="O90" t="s">
        <v>785</v>
      </c>
    </row>
    <row r="91" spans="1:61" ht="18" customHeight="1">
      <c r="A91" s="11" t="s">
        <v>257</v>
      </c>
      <c r="B91" s="2" t="s">
        <v>957</v>
      </c>
      <c r="C91" s="2">
        <v>1.5</v>
      </c>
      <c r="D91" s="2" t="s">
        <v>1203</v>
      </c>
      <c r="E91" s="29">
        <f>G91+I91+K91</f>
        <v>0</v>
      </c>
      <c r="F91" s="29">
        <f>H91+J91+L91</f>
        <v>0</v>
      </c>
      <c r="G91" s="29"/>
      <c r="H91" s="29"/>
      <c r="I91" s="29"/>
      <c r="J91" s="29">
        <f>TRUNC(I91*C91,0)</f>
        <v>0</v>
      </c>
      <c r="K91" s="29"/>
      <c r="L91" s="29"/>
      <c r="M91" s="20" t="s">
        <v>1297</v>
      </c>
      <c r="P91" t="s">
        <v>1113</v>
      </c>
      <c r="R91" t="s">
        <v>707</v>
      </c>
      <c r="BI91" s="34" t="str">
        <f>HYPERLINK("#노임!A7","L029 →")</f>
        <v>L029 →</v>
      </c>
    </row>
    <row r="92" spans="1:13" ht="18" customHeight="1">
      <c r="A92" s="53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56"/>
    </row>
    <row r="93" spans="1:15" ht="18" customHeight="1">
      <c r="A93" s="11" t="s">
        <v>825</v>
      </c>
      <c r="B93" s="2" t="s">
        <v>1297</v>
      </c>
      <c r="C93" s="2">
        <v>1</v>
      </c>
      <c r="D93" s="2" t="s">
        <v>926</v>
      </c>
      <c r="F93" s="29">
        <f>H93+J93+L93</f>
        <v>0</v>
      </c>
      <c r="H93" s="29">
        <f>TRUNC(H94+H95+H96+H97,0)</f>
        <v>0</v>
      </c>
      <c r="J93" s="29">
        <f>TRUNC(J94+J95+J96+J97,0)</f>
        <v>0</v>
      </c>
      <c r="L93" s="29">
        <f>TRUNC(L94+L95+L96+L97,0)</f>
        <v>0</v>
      </c>
      <c r="M93" s="20" t="s">
        <v>1297</v>
      </c>
      <c r="O93" t="s">
        <v>1242</v>
      </c>
    </row>
    <row r="94" spans="1:61" ht="18" customHeight="1">
      <c r="A94" s="11" t="s">
        <v>1069</v>
      </c>
      <c r="B94" s="2" t="s">
        <v>37</v>
      </c>
      <c r="C94" s="2">
        <v>1</v>
      </c>
      <c r="D94" s="2" t="s">
        <v>230</v>
      </c>
      <c r="E94" s="29">
        <f>G94+I94+K94</f>
        <v>0</v>
      </c>
      <c r="F94" s="29">
        <f>H94+J94+L94</f>
        <v>0</v>
      </c>
      <c r="G94" s="29"/>
      <c r="H94" s="29">
        <f>TRUNC(G94*C94,0)</f>
        <v>0</v>
      </c>
      <c r="I94" s="29"/>
      <c r="J94" s="29"/>
      <c r="K94" s="29"/>
      <c r="L94" s="29"/>
      <c r="M94" s="20" t="s">
        <v>1297</v>
      </c>
      <c r="N94" t="s">
        <v>244</v>
      </c>
      <c r="P94" t="s">
        <v>166</v>
      </c>
      <c r="R94" t="s">
        <v>9</v>
      </c>
      <c r="AA94" s="41" t="s">
        <v>148</v>
      </c>
      <c r="AB94" s="8">
        <f>일위대가_호표!H94*(30/100)</f>
        <v>0</v>
      </c>
      <c r="AC94" s="41" t="s">
        <v>491</v>
      </c>
      <c r="AD94" s="7">
        <f>$AB94</f>
        <v>0</v>
      </c>
      <c r="BI94" s="34" t="str">
        <f>HYPERLINK("#자재조서!A14","M7212106 →")</f>
        <v>M7212106 →</v>
      </c>
    </row>
    <row r="95" spans="1:24" ht="18" customHeight="1">
      <c r="A95" s="11" t="s">
        <v>85</v>
      </c>
      <c r="B95" s="2" t="s">
        <v>583</v>
      </c>
      <c r="C95" s="2">
        <v>30</v>
      </c>
      <c r="D95" s="2" t="s">
        <v>266</v>
      </c>
      <c r="E95" s="29">
        <f>G95+I95+K95</f>
        <v>0</v>
      </c>
      <c r="F95" s="29">
        <f>H95+J95+L95</f>
        <v>0</v>
      </c>
      <c r="G95" s="1"/>
      <c r="H95" s="29">
        <v>0</v>
      </c>
      <c r="I95" s="1"/>
      <c r="J95" s="29">
        <f>TRUNC((H94*(30/100)),0)</f>
        <v>0</v>
      </c>
      <c r="K95" s="1"/>
      <c r="L95" s="29">
        <v>0</v>
      </c>
      <c r="M95" s="20" t="s">
        <v>1297</v>
      </c>
      <c r="P95" t="s">
        <v>1113</v>
      </c>
      <c r="R95" t="s">
        <v>1083</v>
      </c>
      <c r="X95" t="s">
        <v>1146</v>
      </c>
    </row>
    <row r="96" spans="1:61" ht="18" customHeight="1">
      <c r="A96" s="11" t="s">
        <v>743</v>
      </c>
      <c r="B96" s="2" t="s">
        <v>841</v>
      </c>
      <c r="C96" s="2">
        <v>0.144</v>
      </c>
      <c r="D96" s="2" t="s">
        <v>466</v>
      </c>
      <c r="E96" s="29">
        <f>G96+I96+K96</f>
        <v>0</v>
      </c>
      <c r="F96" s="29">
        <f>H96+J96+L96</f>
        <v>0</v>
      </c>
      <c r="G96" s="29"/>
      <c r="H96" s="29">
        <f>TRUNC(G96*C96,0)</f>
        <v>0</v>
      </c>
      <c r="I96" s="29"/>
      <c r="J96" s="29">
        <f>TRUNC(I96*C96,0)</f>
        <v>0</v>
      </c>
      <c r="K96" s="29"/>
      <c r="L96" s="29">
        <f>TRUNC(K96*C96,0)</f>
        <v>0</v>
      </c>
      <c r="M96" s="20" t="s">
        <v>1297</v>
      </c>
      <c r="P96" t="s">
        <v>784</v>
      </c>
      <c r="R96" t="s">
        <v>1289</v>
      </c>
      <c r="T96" t="s">
        <v>1083</v>
      </c>
      <c r="BI96" s="34" t="str">
        <f>HYPERLINK("#일위대가목록!A15","H0001010 →")</f>
        <v>H0001010 →</v>
      </c>
    </row>
    <row r="97" spans="1:61" ht="18" customHeight="1">
      <c r="A97" s="11" t="s">
        <v>535</v>
      </c>
      <c r="B97" s="2" t="s">
        <v>1018</v>
      </c>
      <c r="C97" s="2">
        <v>1.26</v>
      </c>
      <c r="D97" s="2" t="s">
        <v>940</v>
      </c>
      <c r="E97" s="29">
        <f>G97+I97+K97</f>
        <v>0</v>
      </c>
      <c r="F97" s="29">
        <f>H97+J97+L97</f>
        <v>0</v>
      </c>
      <c r="G97" s="29"/>
      <c r="H97" s="29">
        <f>TRUNC(G97*C97,0)</f>
        <v>0</v>
      </c>
      <c r="I97" s="29"/>
      <c r="J97" s="29">
        <f>TRUNC(I97*C97,0)</f>
        <v>0</v>
      </c>
      <c r="K97" s="29"/>
      <c r="L97" s="29">
        <f>TRUNC(K97*C97,0)</f>
        <v>0</v>
      </c>
      <c r="M97" s="20" t="s">
        <v>1297</v>
      </c>
      <c r="P97" t="s">
        <v>450</v>
      </c>
      <c r="R97" t="s">
        <v>830</v>
      </c>
      <c r="T97" t="s">
        <v>1083</v>
      </c>
      <c r="BI97" s="34" t="str">
        <f>HYPERLINK("#일위대가목록!A16","SB03200 →")</f>
        <v>SB03200 →</v>
      </c>
    </row>
    <row r="98" spans="1:13" ht="18" customHeight="1">
      <c r="A98" s="53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56"/>
    </row>
    <row r="99" spans="1:15" ht="18" customHeight="1">
      <c r="A99" s="11" t="s">
        <v>287</v>
      </c>
      <c r="B99" s="2" t="s">
        <v>120</v>
      </c>
      <c r="C99" s="2">
        <v>1</v>
      </c>
      <c r="D99" s="2" t="s">
        <v>807</v>
      </c>
      <c r="F99" s="29">
        <f>H99+J99+L99</f>
        <v>0</v>
      </c>
      <c r="H99" s="29">
        <f>TRUNC(H101+H102,0)</f>
        <v>0</v>
      </c>
      <c r="J99" s="29">
        <f>TRUNC(J101+J102,0)</f>
        <v>0</v>
      </c>
      <c r="L99" s="29">
        <f>TRUNC(L101+L102,0)</f>
        <v>0</v>
      </c>
      <c r="M99" s="20" t="s">
        <v>1297</v>
      </c>
      <c r="O99" t="s">
        <v>608</v>
      </c>
    </row>
    <row r="100" spans="1:61" ht="18" customHeight="1">
      <c r="A100" s="11" t="s">
        <v>153</v>
      </c>
      <c r="B100" s="2" t="s">
        <v>1100</v>
      </c>
      <c r="C100" s="2">
        <v>1</v>
      </c>
      <c r="D100" s="2" t="s">
        <v>230</v>
      </c>
      <c r="E100" s="29">
        <f>G100+I100+K100</f>
        <v>0</v>
      </c>
      <c r="F100" s="29">
        <f>H100+J100+L100</f>
        <v>0</v>
      </c>
      <c r="G100" s="29"/>
      <c r="H100" s="29">
        <f>TRUNC(G100*C100,0)</f>
        <v>0</v>
      </c>
      <c r="I100" s="29"/>
      <c r="J100" s="29"/>
      <c r="K100" s="29"/>
      <c r="L100" s="29"/>
      <c r="M100" s="20" t="s">
        <v>1297</v>
      </c>
      <c r="P100" t="s">
        <v>166</v>
      </c>
      <c r="Q100" t="s">
        <v>828</v>
      </c>
      <c r="R100" t="s">
        <v>868</v>
      </c>
      <c r="AA100" s="41" t="s">
        <v>939</v>
      </c>
      <c r="AB100" s="8">
        <f>일위대가_호표!H100*(30/100)</f>
        <v>0</v>
      </c>
      <c r="AC100" s="41" t="s">
        <v>1063</v>
      </c>
      <c r="AD100" s="7">
        <f>$AB100</f>
        <v>0</v>
      </c>
      <c r="BI100" s="34" t="str">
        <f>HYPERLINK("#자재조서!A16","MKW00121 →")</f>
        <v>MKW00121 →</v>
      </c>
    </row>
    <row r="101" spans="1:30" ht="18" customHeight="1">
      <c r="A101" s="11" t="s">
        <v>380</v>
      </c>
      <c r="B101" s="2" t="s">
        <v>1139</v>
      </c>
      <c r="C101" s="2">
        <v>30</v>
      </c>
      <c r="D101" s="2" t="s">
        <v>266</v>
      </c>
      <c r="E101" s="29">
        <f>G101+I101+K101</f>
        <v>0</v>
      </c>
      <c r="F101" s="29">
        <f>H101+J101+L101</f>
        <v>0</v>
      </c>
      <c r="G101" s="1"/>
      <c r="H101" s="29">
        <f>TRUNC((H100*(30/100)),0)</f>
        <v>0</v>
      </c>
      <c r="I101" s="1"/>
      <c r="J101" s="29">
        <v>0</v>
      </c>
      <c r="K101" s="1"/>
      <c r="L101" s="29">
        <v>0</v>
      </c>
      <c r="M101" s="20" t="s">
        <v>1297</v>
      </c>
      <c r="P101" t="s">
        <v>1113</v>
      </c>
      <c r="R101" t="s">
        <v>1083</v>
      </c>
      <c r="X101" t="s">
        <v>1061</v>
      </c>
      <c r="AA101" s="41" t="s">
        <v>148</v>
      </c>
      <c r="AB101" s="8">
        <f>(일위대가_호표!H101*전역변수!C5)*(5/100)</f>
        <v>0</v>
      </c>
      <c r="AC101" s="41" t="s">
        <v>491</v>
      </c>
      <c r="AD101" s="7">
        <f>$AB101</f>
        <v>0</v>
      </c>
    </row>
    <row r="102" spans="1:24" ht="18" customHeight="1">
      <c r="A102" s="11" t="s">
        <v>947</v>
      </c>
      <c r="B102" s="2" t="s">
        <v>583</v>
      </c>
      <c r="C102" s="2">
        <v>5</v>
      </c>
      <c r="D102" s="2" t="s">
        <v>266</v>
      </c>
      <c r="E102" s="29">
        <f>G102+I102+K102</f>
        <v>0</v>
      </c>
      <c r="F102" s="29">
        <f>H102+J102+L102</f>
        <v>0</v>
      </c>
      <c r="G102" s="1"/>
      <c r="H102" s="29">
        <v>0</v>
      </c>
      <c r="I102" s="1"/>
      <c r="J102" s="29">
        <f>TRUNC(((H101*전역변수!C5)*(5/100)),0)</f>
        <v>0</v>
      </c>
      <c r="K102" s="1"/>
      <c r="L102" s="29">
        <v>0</v>
      </c>
      <c r="M102" s="20" t="s">
        <v>1297</v>
      </c>
      <c r="P102" t="s">
        <v>784</v>
      </c>
      <c r="R102" t="s">
        <v>1083</v>
      </c>
      <c r="X102" t="s">
        <v>534</v>
      </c>
    </row>
    <row r="103" spans="1:13" ht="18" customHeight="1">
      <c r="A103" s="5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56"/>
    </row>
    <row r="104" spans="1:15" ht="18" customHeight="1">
      <c r="A104" s="11" t="s">
        <v>1271</v>
      </c>
      <c r="B104" s="2" t="s">
        <v>856</v>
      </c>
      <c r="C104" s="2">
        <v>1</v>
      </c>
      <c r="D104" s="2" t="s">
        <v>807</v>
      </c>
      <c r="F104" s="29">
        <f>H104+J104+L104</f>
        <v>0</v>
      </c>
      <c r="H104" s="29">
        <f>TRUNC(H106+H107,0)</f>
        <v>0</v>
      </c>
      <c r="J104" s="29">
        <f>TRUNC(J106+J107,0)</f>
        <v>0</v>
      </c>
      <c r="L104" s="29">
        <f>TRUNC(L106+L107,0)</f>
        <v>0</v>
      </c>
      <c r="M104" s="20" t="s">
        <v>1297</v>
      </c>
      <c r="O104" t="s">
        <v>1093</v>
      </c>
    </row>
    <row r="105" spans="1:61" ht="18" customHeight="1">
      <c r="A105" s="11" t="s">
        <v>153</v>
      </c>
      <c r="B105" s="2" t="s">
        <v>1262</v>
      </c>
      <c r="C105" s="2">
        <v>1</v>
      </c>
      <c r="D105" s="2" t="s">
        <v>230</v>
      </c>
      <c r="E105" s="29">
        <f>G105+I105+K105</f>
        <v>0</v>
      </c>
      <c r="F105" s="29">
        <f>H105+J105+L105</f>
        <v>0</v>
      </c>
      <c r="G105" s="29"/>
      <c r="H105" s="29">
        <f>TRUNC(G105*C105,0)</f>
        <v>0</v>
      </c>
      <c r="I105" s="29"/>
      <c r="J105" s="29"/>
      <c r="K105" s="29"/>
      <c r="L105" s="29"/>
      <c r="M105" s="20" t="s">
        <v>1297</v>
      </c>
      <c r="P105" t="s">
        <v>166</v>
      </c>
      <c r="Q105" t="s">
        <v>828</v>
      </c>
      <c r="R105" t="s">
        <v>118</v>
      </c>
      <c r="AA105" s="41" t="s">
        <v>939</v>
      </c>
      <c r="AB105" s="8">
        <f>일위대가_호표!H105*(30/100)</f>
        <v>0</v>
      </c>
      <c r="AC105" s="41" t="s">
        <v>1063</v>
      </c>
      <c r="AD105" s="7">
        <f>$AB105</f>
        <v>0</v>
      </c>
      <c r="BI105" s="34" t="str">
        <f>HYPERLINK("#자재조서!A17","MKW00122 →")</f>
        <v>MKW00122 →</v>
      </c>
    </row>
    <row r="106" spans="1:30" ht="18" customHeight="1">
      <c r="A106" s="11" t="s">
        <v>380</v>
      </c>
      <c r="B106" s="2" t="s">
        <v>1139</v>
      </c>
      <c r="C106" s="2">
        <v>30</v>
      </c>
      <c r="D106" s="2" t="s">
        <v>266</v>
      </c>
      <c r="E106" s="29">
        <f>G106+I106+K106</f>
        <v>0</v>
      </c>
      <c r="F106" s="29">
        <f>H106+J106+L106</f>
        <v>0</v>
      </c>
      <c r="G106" s="1"/>
      <c r="H106" s="29">
        <f>TRUNC((H105*(30/100)),0)</f>
        <v>0</v>
      </c>
      <c r="I106" s="1"/>
      <c r="J106" s="29">
        <v>0</v>
      </c>
      <c r="K106" s="1"/>
      <c r="L106" s="29">
        <v>0</v>
      </c>
      <c r="M106" s="20" t="s">
        <v>1297</v>
      </c>
      <c r="P106" t="s">
        <v>1113</v>
      </c>
      <c r="R106" t="s">
        <v>1083</v>
      </c>
      <c r="X106" t="s">
        <v>652</v>
      </c>
      <c r="AA106" s="41" t="s">
        <v>148</v>
      </c>
      <c r="AB106" s="8">
        <f>(일위대가_호표!H106*전역변수!C5)*(5/100)</f>
        <v>0</v>
      </c>
      <c r="AC106" s="41" t="s">
        <v>491</v>
      </c>
      <c r="AD106" s="7">
        <f>$AB106</f>
        <v>0</v>
      </c>
    </row>
    <row r="107" spans="1:24" ht="18" customHeight="1">
      <c r="A107" s="11" t="s">
        <v>947</v>
      </c>
      <c r="B107" s="2" t="s">
        <v>583</v>
      </c>
      <c r="C107" s="2">
        <v>5</v>
      </c>
      <c r="D107" s="2" t="s">
        <v>266</v>
      </c>
      <c r="E107" s="29">
        <f>G107+I107+K107</f>
        <v>0</v>
      </c>
      <c r="F107" s="29">
        <f>H107+J107+L107</f>
        <v>0</v>
      </c>
      <c r="G107" s="1"/>
      <c r="H107" s="29">
        <v>0</v>
      </c>
      <c r="I107" s="1"/>
      <c r="J107" s="29">
        <f>TRUNC(((H106*전역변수!C5)*(5/100)),0)</f>
        <v>0</v>
      </c>
      <c r="K107" s="1"/>
      <c r="L107" s="29">
        <v>0</v>
      </c>
      <c r="M107" s="20" t="s">
        <v>1297</v>
      </c>
      <c r="P107" t="s">
        <v>784</v>
      </c>
      <c r="R107" t="s">
        <v>1083</v>
      </c>
      <c r="X107" t="s">
        <v>534</v>
      </c>
    </row>
    <row r="108" spans="1:13" ht="18" customHeight="1">
      <c r="A108" s="53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56"/>
    </row>
    <row r="109" spans="1:15" ht="18" customHeight="1">
      <c r="A109" s="11" t="s">
        <v>280</v>
      </c>
      <c r="B109" s="2" t="s">
        <v>265</v>
      </c>
      <c r="C109" s="2">
        <v>1</v>
      </c>
      <c r="D109" s="2" t="s">
        <v>1067</v>
      </c>
      <c r="F109" s="29">
        <f>H109+J109+L109</f>
        <v>0</v>
      </c>
      <c r="H109" s="29">
        <f>TRUNC(H111,0)</f>
        <v>0</v>
      </c>
      <c r="J109" s="29">
        <f>TRUNC(J111,0)</f>
        <v>0</v>
      </c>
      <c r="L109" s="29">
        <f>TRUNC(L111,0)</f>
        <v>0</v>
      </c>
      <c r="M109" s="20" t="s">
        <v>1297</v>
      </c>
      <c r="O109" t="s">
        <v>259</v>
      </c>
    </row>
    <row r="110" spans="1:61" ht="18" customHeight="1">
      <c r="A110" s="11" t="s">
        <v>395</v>
      </c>
      <c r="B110" s="2" t="s">
        <v>1297</v>
      </c>
      <c r="C110" s="2">
        <v>0.125</v>
      </c>
      <c r="D110" s="2" t="s">
        <v>1203</v>
      </c>
      <c r="E110" s="29">
        <f>G110+I110+K110</f>
        <v>0</v>
      </c>
      <c r="F110" s="29">
        <f>H110+J110+L110</f>
        <v>0</v>
      </c>
      <c r="G110" s="29"/>
      <c r="H110" s="29"/>
      <c r="I110" s="29"/>
      <c r="J110" s="29">
        <f>TRUNC(I110*C110,0)</f>
        <v>0</v>
      </c>
      <c r="K110" s="29"/>
      <c r="L110" s="29"/>
      <c r="M110" s="20" t="s">
        <v>1297</v>
      </c>
      <c r="P110" t="s">
        <v>166</v>
      </c>
      <c r="Q110" t="s">
        <v>828</v>
      </c>
      <c r="R110" t="s">
        <v>239</v>
      </c>
      <c r="AA110" s="41" t="s">
        <v>403</v>
      </c>
      <c r="AB110" s="8">
        <f>일위대가_호표!J110</f>
        <v>0</v>
      </c>
      <c r="AC110" s="41" t="s">
        <v>678</v>
      </c>
      <c r="AD110" s="7">
        <f>$AB110</f>
        <v>0</v>
      </c>
      <c r="BI110" s="34" t="str">
        <f>HYPERLINK("#노임!A10","L085 →")</f>
        <v>L085 →</v>
      </c>
    </row>
    <row r="111" spans="1:24" ht="18" customHeight="1">
      <c r="A111" s="11" t="s">
        <v>504</v>
      </c>
      <c r="B111" s="2" t="s">
        <v>1297</v>
      </c>
      <c r="C111" s="2"/>
      <c r="D111" s="2" t="s">
        <v>1297</v>
      </c>
      <c r="E111" s="29">
        <f>G111+I111+K111</f>
        <v>0</v>
      </c>
      <c r="F111" s="29">
        <f>H111+J111+L111</f>
        <v>0</v>
      </c>
      <c r="G111" s="1"/>
      <c r="H111" s="29">
        <v>0</v>
      </c>
      <c r="I111" s="1"/>
      <c r="J111" s="29">
        <v>0</v>
      </c>
      <c r="K111" s="1"/>
      <c r="L111" s="29">
        <f>TRUNC(J110,0)</f>
        <v>0</v>
      </c>
      <c r="M111" s="20" t="s">
        <v>1297</v>
      </c>
      <c r="P111" t="s">
        <v>1113</v>
      </c>
      <c r="R111" t="s">
        <v>1083</v>
      </c>
      <c r="X111" t="s">
        <v>1060</v>
      </c>
    </row>
    <row r="112" spans="1:13" ht="18" customHeight="1">
      <c r="A112" s="5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56"/>
    </row>
    <row r="113" spans="1:15" ht="18" customHeight="1">
      <c r="A113" s="11" t="s">
        <v>180</v>
      </c>
      <c r="B113" s="2" t="s">
        <v>90</v>
      </c>
      <c r="C113" s="2">
        <v>1</v>
      </c>
      <c r="D113" s="2" t="s">
        <v>940</v>
      </c>
      <c r="F113" s="29">
        <f aca="true" t="shared" si="10" ref="F113:F118">H113+J113+L113</f>
        <v>0</v>
      </c>
      <c r="H113" s="29">
        <f>TRUNC(H115+H116+H117+H118,0)</f>
        <v>0</v>
      </c>
      <c r="J113" s="29">
        <f>TRUNC(J115+J116+J117+J118,0)</f>
        <v>0</v>
      </c>
      <c r="L113" s="29">
        <f>TRUNC(L115+L116+L117+L118,0)</f>
        <v>0</v>
      </c>
      <c r="M113" s="20" t="s">
        <v>1297</v>
      </c>
      <c r="O113" t="s">
        <v>78</v>
      </c>
    </row>
    <row r="114" spans="1:18" ht="18" customHeight="1">
      <c r="A114" s="11" t="s">
        <v>161</v>
      </c>
      <c r="B114" s="2" t="s">
        <v>80</v>
      </c>
      <c r="C114" s="2"/>
      <c r="D114" s="2" t="s">
        <v>1297</v>
      </c>
      <c r="E114" s="29">
        <f>G114+I114+K114</f>
        <v>0</v>
      </c>
      <c r="F114" s="29">
        <f t="shared" si="10"/>
        <v>0</v>
      </c>
      <c r="G114" s="1"/>
      <c r="H114" s="29">
        <v>0</v>
      </c>
      <c r="I114" s="1"/>
      <c r="J114" s="29">
        <v>0</v>
      </c>
      <c r="K114" s="1"/>
      <c r="L114" s="29">
        <v>0</v>
      </c>
      <c r="M114" s="20" t="s">
        <v>1297</v>
      </c>
      <c r="P114" t="s">
        <v>166</v>
      </c>
    </row>
    <row r="115" spans="1:61" ht="18" customHeight="1">
      <c r="A115" s="11" t="s">
        <v>1052</v>
      </c>
      <c r="B115" s="2" t="s">
        <v>1297</v>
      </c>
      <c r="C115" s="2">
        <v>0.19</v>
      </c>
      <c r="D115" s="2" t="s">
        <v>1203</v>
      </c>
      <c r="E115" s="29">
        <f>G115+I115+K115</f>
        <v>0</v>
      </c>
      <c r="F115" s="29">
        <f t="shared" si="10"/>
        <v>0</v>
      </c>
      <c r="G115" s="29"/>
      <c r="H115" s="29"/>
      <c r="I115" s="29"/>
      <c r="J115" s="29">
        <f>TRUNC(I115*C115,0)</f>
        <v>0</v>
      </c>
      <c r="K115" s="29"/>
      <c r="L115" s="29"/>
      <c r="M115" s="20" t="s">
        <v>1297</v>
      </c>
      <c r="N115" t="s">
        <v>472</v>
      </c>
      <c r="P115" t="s">
        <v>1113</v>
      </c>
      <c r="R115" t="s">
        <v>369</v>
      </c>
      <c r="BI115" s="34" t="str">
        <f>HYPERLINK("#노임!A4","L017 →")</f>
        <v>L017 →</v>
      </c>
    </row>
    <row r="116" spans="1:61" ht="18" customHeight="1">
      <c r="A116" s="11" t="s">
        <v>395</v>
      </c>
      <c r="B116" s="2" t="s">
        <v>1297</v>
      </c>
      <c r="C116" s="2">
        <v>0.06</v>
      </c>
      <c r="D116" s="2" t="s">
        <v>1203</v>
      </c>
      <c r="E116" s="29">
        <f>G116+I116+K116</f>
        <v>0</v>
      </c>
      <c r="F116" s="29">
        <f t="shared" si="10"/>
        <v>0</v>
      </c>
      <c r="G116" s="29"/>
      <c r="H116" s="29"/>
      <c r="I116" s="29"/>
      <c r="J116" s="29">
        <f>TRUNC(I116*C116,0)</f>
        <v>0</v>
      </c>
      <c r="K116" s="29"/>
      <c r="L116" s="29"/>
      <c r="M116" s="20" t="s">
        <v>1297</v>
      </c>
      <c r="N116" t="s">
        <v>365</v>
      </c>
      <c r="P116" t="s">
        <v>784</v>
      </c>
      <c r="R116" t="s">
        <v>239</v>
      </c>
      <c r="BI116" s="34" t="str">
        <f>HYPERLINK("#노임!A10","L085 →")</f>
        <v>L085 →</v>
      </c>
    </row>
    <row r="117" spans="1:61" ht="18" customHeight="1">
      <c r="A117" s="11" t="s">
        <v>1182</v>
      </c>
      <c r="B117" s="2" t="s">
        <v>1234</v>
      </c>
      <c r="C117" s="2">
        <v>0.049</v>
      </c>
      <c r="D117" s="2" t="s">
        <v>927</v>
      </c>
      <c r="E117" s="29">
        <f>G117+I117+K117</f>
        <v>0</v>
      </c>
      <c r="F117" s="29">
        <f t="shared" si="10"/>
        <v>0</v>
      </c>
      <c r="G117" s="29"/>
      <c r="H117" s="29">
        <f>TRUNC(G117*C117,0)</f>
        <v>0</v>
      </c>
      <c r="I117" s="29"/>
      <c r="J117" s="29"/>
      <c r="K117" s="29"/>
      <c r="L117" s="29"/>
      <c r="M117" s="20" t="s">
        <v>1297</v>
      </c>
      <c r="P117" t="s">
        <v>450</v>
      </c>
      <c r="R117" t="s">
        <v>1057</v>
      </c>
      <c r="BI117" s="34" t="str">
        <f>HYPERLINK("#자재조서!A10","M0771007 →")</f>
        <v>M0771007 →</v>
      </c>
    </row>
    <row r="118" spans="1:61" ht="18" customHeight="1">
      <c r="A118" s="11" t="s">
        <v>111</v>
      </c>
      <c r="B118" s="2" t="s">
        <v>894</v>
      </c>
      <c r="C118" s="2">
        <v>149</v>
      </c>
      <c r="D118" s="2" t="s">
        <v>949</v>
      </c>
      <c r="E118" s="29">
        <f>G118+I118+K118</f>
        <v>0</v>
      </c>
      <c r="F118" s="29">
        <f t="shared" si="10"/>
        <v>0</v>
      </c>
      <c r="G118" s="29"/>
      <c r="H118" s="29">
        <f>TRUNC(G118*C118,0)</f>
        <v>0</v>
      </c>
      <c r="I118" s="29"/>
      <c r="J118" s="29"/>
      <c r="K118" s="29"/>
      <c r="L118" s="29"/>
      <c r="M118" s="20" t="s">
        <v>1297</v>
      </c>
      <c r="P118" t="s">
        <v>139</v>
      </c>
      <c r="R118" t="s">
        <v>400</v>
      </c>
      <c r="BI118" s="34" t="str">
        <f>HYPERLINK("#자재조서!A21","MZA51100 →")</f>
        <v>MZA51100 →</v>
      </c>
    </row>
    <row r="119" spans="1:13" ht="18" customHeight="1">
      <c r="A119" s="54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7"/>
    </row>
  </sheetData>
  <sheetProtection/>
  <mergeCells count="9">
    <mergeCell ref="K2:L2"/>
    <mergeCell ref="E2:F2"/>
    <mergeCell ref="M2:M3"/>
    <mergeCell ref="A2:A3"/>
    <mergeCell ref="B2:B3"/>
    <mergeCell ref="C2:C3"/>
    <mergeCell ref="D2:D3"/>
    <mergeCell ref="G2:H2"/>
    <mergeCell ref="I2:J2"/>
  </mergeCells>
  <printOptions/>
  <pageMargins left="0.31496062992125984" right="0.31496062992125984" top="1" bottom="0.5905511811023622" header="0.5" footer="0.5"/>
  <pageSetup horizontalDpi="600" verticalDpi="600" orientation="landscape" paperSize="9"/>
  <headerFooter alignWithMargins="0">
    <oddHeader>&amp;RPage : 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F695"/>
  <sheetViews>
    <sheetView zoomScalePageLayoutView="0" workbookViewId="0" topLeftCell="A1">
      <selection activeCell="AD8" sqref="AD8"/>
    </sheetView>
  </sheetViews>
  <sheetFormatPr defaultColWidth="9.33203125" defaultRowHeight="18" customHeight="1"/>
  <cols>
    <col min="1" max="1" width="65" style="0" customWidth="1"/>
    <col min="2" max="2" width="11" style="0" customWidth="1"/>
    <col min="3" max="6" width="10" style="0" customWidth="1"/>
    <col min="7" max="23" width="0" style="0" hidden="1" customWidth="1"/>
  </cols>
  <sheetData>
    <row r="1" ht="18" customHeight="1">
      <c r="A1" t="s">
        <v>499</v>
      </c>
    </row>
    <row r="2" spans="1:6" ht="18" customHeight="1">
      <c r="A2" s="16" t="s">
        <v>361</v>
      </c>
      <c r="B2" s="17" t="s">
        <v>1261</v>
      </c>
      <c r="C2" s="17" t="s">
        <v>884</v>
      </c>
      <c r="D2" s="17" t="s">
        <v>506</v>
      </c>
      <c r="E2" s="17" t="s">
        <v>93</v>
      </c>
      <c r="F2" s="19" t="s">
        <v>321</v>
      </c>
    </row>
    <row r="3" spans="1:33" ht="18" customHeight="1">
      <c r="A3" s="42"/>
      <c r="B3" s="3"/>
      <c r="C3" s="3"/>
      <c r="D3" s="3"/>
      <c r="E3" s="3"/>
      <c r="F3" s="46"/>
      <c r="AA3" s="64" t="s">
        <v>306</v>
      </c>
      <c r="AB3" s="64"/>
      <c r="AC3" s="64"/>
      <c r="AD3" s="64"/>
      <c r="AE3" s="64"/>
      <c r="AF3" s="64"/>
      <c r="AG3" s="64"/>
    </row>
    <row r="4" spans="1:33" ht="18" customHeight="1">
      <c r="A4" s="42" t="s">
        <v>159</v>
      </c>
      <c r="B4" s="36">
        <f>$B56</f>
        <v>0</v>
      </c>
      <c r="C4" s="36">
        <f>$C56</f>
        <v>0</v>
      </c>
      <c r="D4" s="36">
        <f>$D56</f>
        <v>0</v>
      </c>
      <c r="E4" s="36">
        <f>$E56</f>
        <v>0</v>
      </c>
      <c r="F4" s="46" t="s">
        <v>1297</v>
      </c>
      <c r="H4" t="s">
        <v>540</v>
      </c>
      <c r="K4">
        <v>1</v>
      </c>
      <c r="Y4" s="7" t="b">
        <f>EXACT($Z4,$B56)</f>
        <v>0</v>
      </c>
      <c r="Z4" s="39">
        <v>63558</v>
      </c>
      <c r="AA4" s="64" t="s">
        <v>661</v>
      </c>
      <c r="AB4" s="64"/>
      <c r="AC4" s="64"/>
      <c r="AD4" s="64"/>
      <c r="AE4" s="64"/>
      <c r="AF4" s="64"/>
      <c r="AG4" s="64"/>
    </row>
    <row r="5" spans="1:6" ht="18" customHeight="1">
      <c r="A5" s="43"/>
      <c r="B5" s="3"/>
      <c r="C5" s="3"/>
      <c r="D5" s="3"/>
      <c r="E5" s="3"/>
      <c r="F5" s="46"/>
    </row>
    <row r="6" spans="1:11" ht="18" customHeight="1">
      <c r="A6" s="42" t="s">
        <v>1297</v>
      </c>
      <c r="B6" s="3"/>
      <c r="C6" s="3"/>
      <c r="D6" s="3"/>
      <c r="E6" s="3"/>
      <c r="F6" s="46"/>
      <c r="I6" t="s">
        <v>166</v>
      </c>
      <c r="K6" t="s">
        <v>1085</v>
      </c>
    </row>
    <row r="7" spans="1:11" ht="18" customHeight="1">
      <c r="A7" s="42" t="s">
        <v>269</v>
      </c>
      <c r="B7" s="36"/>
      <c r="C7" s="36"/>
      <c r="D7" s="36"/>
      <c r="E7" s="36"/>
      <c r="F7" s="47"/>
      <c r="K7" s="3" t="s">
        <v>269</v>
      </c>
    </row>
    <row r="8" spans="1:11" ht="18" customHeight="1">
      <c r="A8" s="42" t="s">
        <v>1297</v>
      </c>
      <c r="B8" s="36"/>
      <c r="C8" s="36"/>
      <c r="D8" s="36"/>
      <c r="E8" s="36"/>
      <c r="F8" s="47"/>
      <c r="K8" s="3" t="s">
        <v>1297</v>
      </c>
    </row>
    <row r="9" spans="1:11" ht="18" customHeight="1">
      <c r="A9" s="42" t="s">
        <v>865</v>
      </c>
      <c r="B9" s="36"/>
      <c r="C9" s="36"/>
      <c r="D9" s="36"/>
      <c r="E9" s="36"/>
      <c r="F9" s="47"/>
      <c r="K9" s="3" t="s">
        <v>865</v>
      </c>
    </row>
    <row r="10" spans="1:11" ht="18" customHeight="1">
      <c r="A10" s="42" t="s">
        <v>1297</v>
      </c>
      <c r="B10" s="36"/>
      <c r="C10" s="36"/>
      <c r="D10" s="36"/>
      <c r="E10" s="36"/>
      <c r="F10" s="47"/>
      <c r="K10" s="3" t="s">
        <v>1297</v>
      </c>
    </row>
    <row r="11" spans="1:30" ht="18" customHeight="1">
      <c r="A11" s="44" t="str">
        <f>CONCATENATE("   Q=",TEXT($AB11,"#,##0.00"),"  M3/HR")</f>
        <v>   Q=0.00  M3/HR</v>
      </c>
      <c r="B11" s="36"/>
      <c r="C11" s="36"/>
      <c r="D11" s="36"/>
      <c r="E11" s="36"/>
      <c r="F11" s="47"/>
      <c r="K11" s="10" t="str">
        <f>SUBSTITUTE(SUBSTITUTE("   Q =  1.75 _x001D_M3/HR_x001D_","1.75",TEXT($AB11,"#,##0.00"),1),"_x001D_","'")</f>
        <v>   Q =  0.00 'M3/HR'</v>
      </c>
      <c r="AA11" s="40"/>
      <c r="AB11" s="6"/>
      <c r="AC11" s="40"/>
      <c r="AD11" s="7"/>
    </row>
    <row r="12" spans="1:11" ht="18" customHeight="1">
      <c r="A12" s="42" t="s">
        <v>1297</v>
      </c>
      <c r="B12" s="36"/>
      <c r="C12" s="36"/>
      <c r="D12" s="36"/>
      <c r="E12" s="36"/>
      <c r="F12" s="47"/>
      <c r="K12" s="3" t="s">
        <v>1297</v>
      </c>
    </row>
    <row r="13" spans="1:34" ht="18" customHeight="1">
      <c r="A13" s="44" t="str">
        <f>CONCATENATE("    재 료 비 :  _x001D_10,103.5_x001D_ / ",TEXT($AB13,"#,##0.00")," =",TEXT($AF13,"#,##0.00"))</f>
        <v>    재 료 비 :  _x001D_10,103.5_x001D_ / 0.00 =0.00</v>
      </c>
      <c r="B13" s="36"/>
      <c r="C13" s="36"/>
      <c r="D13" s="36"/>
      <c r="E13" s="36"/>
      <c r="F13" s="47"/>
      <c r="K13" s="3" t="s">
        <v>328</v>
      </c>
      <c r="AA13" s="40"/>
      <c r="AB13" s="8"/>
      <c r="AC13" s="40"/>
      <c r="AD13" s="7"/>
      <c r="AE13" s="41"/>
      <c r="AF13" s="8"/>
      <c r="AG13" s="41"/>
      <c r="AH13" s="7"/>
    </row>
    <row r="14" spans="1:11" ht="18" customHeight="1">
      <c r="A14" s="42" t="s">
        <v>1297</v>
      </c>
      <c r="B14" s="36"/>
      <c r="C14" s="36"/>
      <c r="D14" s="36"/>
      <c r="E14" s="36"/>
      <c r="F14" s="47"/>
      <c r="K14" s="3" t="s">
        <v>1297</v>
      </c>
    </row>
    <row r="15" spans="1:34" ht="18" customHeight="1">
      <c r="A15" s="44" t="str">
        <f>CONCATENATE("    노 무 비 :  _x001D_47,849_x001D_ / ",TEXT($AB15,"#,##0.00")," =",TEXT($AF15,"#,##0.00"))</f>
        <v>    노 무 비 :  _x001D_47,849_x001D_ / 0.00 =0.00</v>
      </c>
      <c r="B15" s="36"/>
      <c r="C15" s="36"/>
      <c r="D15" s="36"/>
      <c r="E15" s="36"/>
      <c r="F15" s="47"/>
      <c r="K15" s="3" t="s">
        <v>955</v>
      </c>
      <c r="AA15" s="40"/>
      <c r="AB15" s="8"/>
      <c r="AC15" s="40"/>
      <c r="AD15" s="7"/>
      <c r="AE15" s="41"/>
      <c r="AF15" s="8"/>
      <c r="AG15" s="41"/>
      <c r="AH15" s="7"/>
    </row>
    <row r="16" spans="1:11" ht="18" customHeight="1">
      <c r="A16" s="42" t="s">
        <v>1297</v>
      </c>
      <c r="B16" s="36"/>
      <c r="C16" s="36"/>
      <c r="D16" s="36"/>
      <c r="E16" s="36"/>
      <c r="F16" s="47"/>
      <c r="K16" s="3" t="s">
        <v>1297</v>
      </c>
    </row>
    <row r="17" spans="1:34" ht="18" customHeight="1">
      <c r="A17" s="44" t="str">
        <f>CONCATENATE("    경    비 :  _x001D_15,407_x001D_ / ",TEXT($AB17,"#,##0.00")," =",TEXT($AF17,"#,##0.00"))</f>
        <v>    경    비 :  _x001D_15,407_x001D_ / 0.00 =0.00</v>
      </c>
      <c r="B17" s="36"/>
      <c r="C17" s="36"/>
      <c r="D17" s="36"/>
      <c r="E17" s="36"/>
      <c r="F17" s="47"/>
      <c r="K17" s="3" t="s">
        <v>1148</v>
      </c>
      <c r="AA17" s="40"/>
      <c r="AB17" s="8"/>
      <c r="AC17" s="40"/>
      <c r="AD17" s="7"/>
      <c r="AE17" s="41"/>
      <c r="AF17" s="8"/>
      <c r="AG17" s="41"/>
      <c r="AH17" s="7"/>
    </row>
    <row r="18" spans="1:11" ht="18" customHeight="1">
      <c r="A18" s="42" t="s">
        <v>1297</v>
      </c>
      <c r="B18" s="36"/>
      <c r="C18" s="36"/>
      <c r="D18" s="36"/>
      <c r="E18" s="36"/>
      <c r="F18" s="47"/>
      <c r="K18" s="3" t="s">
        <v>1297</v>
      </c>
    </row>
    <row r="19" spans="1:32" ht="18" customHeight="1">
      <c r="A19" s="42" t="s">
        <v>15</v>
      </c>
      <c r="B19" s="37">
        <f>SUM($C19,$D19,$E19)</f>
        <v>0</v>
      </c>
      <c r="C19" s="37">
        <f>$AB19</f>
        <v>0</v>
      </c>
      <c r="D19" s="37">
        <f>$AD19</f>
        <v>0</v>
      </c>
      <c r="E19" s="37">
        <f>$AF19</f>
        <v>0</v>
      </c>
      <c r="F19" s="48"/>
      <c r="K19" s="3" t="s">
        <v>783</v>
      </c>
      <c r="AA19" s="40"/>
      <c r="AB19" s="7"/>
      <c r="AC19" s="40"/>
      <c r="AD19" s="7"/>
      <c r="AE19" s="40"/>
      <c r="AF19" s="7"/>
    </row>
    <row r="20" spans="1:11" ht="18" customHeight="1">
      <c r="A20" s="42" t="s">
        <v>1297</v>
      </c>
      <c r="B20" s="36"/>
      <c r="C20" s="36"/>
      <c r="D20" s="36"/>
      <c r="E20" s="36"/>
      <c r="F20" s="47"/>
      <c r="K20" s="3" t="s">
        <v>1297</v>
      </c>
    </row>
    <row r="21" spans="1:11" ht="18" customHeight="1">
      <c r="A21" s="42" t="s">
        <v>1297</v>
      </c>
      <c r="B21" s="36"/>
      <c r="C21" s="36"/>
      <c r="D21" s="36"/>
      <c r="E21" s="36"/>
      <c r="F21" s="47"/>
      <c r="K21" s="3" t="s">
        <v>1297</v>
      </c>
    </row>
    <row r="22" spans="1:11" ht="18" customHeight="1">
      <c r="A22" s="42" t="s">
        <v>494</v>
      </c>
      <c r="B22" s="36"/>
      <c r="C22" s="36"/>
      <c r="D22" s="36"/>
      <c r="E22" s="36"/>
      <c r="F22" s="47"/>
      <c r="K22" s="3" t="s">
        <v>494</v>
      </c>
    </row>
    <row r="23" spans="1:34" ht="18" customHeight="1">
      <c r="A23" s="42" t="s">
        <v>1297</v>
      </c>
      <c r="B23" s="36"/>
      <c r="C23" s="36"/>
      <c r="D23" s="36"/>
      <c r="E23" s="36"/>
      <c r="F23" s="47"/>
      <c r="K23" s="10" t="str">
        <f>SUBSTITUTE(SUBSTITUTE(".A=1,B=8","8",TEXT($AF23,"#,##0"),1),"_x001D_","'")</f>
        <v>.A=1,B=0</v>
      </c>
      <c r="AA23" s="40"/>
      <c r="AB23" s="6"/>
      <c r="AC23" s="40"/>
      <c r="AD23" s="7"/>
      <c r="AE23" s="40"/>
      <c r="AF23" s="6"/>
      <c r="AG23" s="40"/>
      <c r="AH23" s="7"/>
    </row>
    <row r="24" spans="1:42" ht="18" customHeight="1">
      <c r="A24" s="44" t="str">
        <f>CONCATENATE("  (",TEXT($AB24,"#,##0.00"),"  인  * _x001D_148,510_x001D_) / (",TEXT($AF24,"#,##0.00")," * ",TEXT($AJ24,"#,##0.00"),"  HR )=",TEXT($AN24,"#,##0.00"))</f>
        <v>  (0.00  인  * _x001D_148,510_x001D_) / (0.00 * 0.00  HR )=0.00</v>
      </c>
      <c r="B24" s="36"/>
      <c r="C24" s="36"/>
      <c r="D24" s="36"/>
      <c r="E24" s="36"/>
      <c r="F24" s="47" t="s">
        <v>1297</v>
      </c>
      <c r="K24" s="3" t="s">
        <v>482</v>
      </c>
      <c r="AA24" s="40"/>
      <c r="AB24" s="8"/>
      <c r="AC24" s="40"/>
      <c r="AD24" s="7"/>
      <c r="AE24" s="40"/>
      <c r="AF24" s="8"/>
      <c r="AG24" s="40"/>
      <c r="AH24" s="7"/>
      <c r="AI24" s="40"/>
      <c r="AJ24" s="8"/>
      <c r="AK24" s="40"/>
      <c r="AL24" s="7"/>
      <c r="AM24" s="41"/>
      <c r="AN24" s="8"/>
      <c r="AO24" s="41"/>
      <c r="AP24" s="7"/>
    </row>
    <row r="25" spans="1:11" ht="18" customHeight="1">
      <c r="A25" s="42" t="s">
        <v>1297</v>
      </c>
      <c r="B25" s="36"/>
      <c r="C25" s="36"/>
      <c r="D25" s="36"/>
      <c r="E25" s="36"/>
      <c r="F25" s="47"/>
      <c r="K25" s="3" t="s">
        <v>1297</v>
      </c>
    </row>
    <row r="26" spans="1:11" ht="18" customHeight="1">
      <c r="A26" s="42" t="s">
        <v>1297</v>
      </c>
      <c r="B26" s="36"/>
      <c r="C26" s="36"/>
      <c r="D26" s="36"/>
      <c r="E26" s="36"/>
      <c r="F26" s="47"/>
      <c r="K26" s="3" t="s">
        <v>1297</v>
      </c>
    </row>
    <row r="27" spans="1:11" ht="18" customHeight="1">
      <c r="A27" s="42" t="s">
        <v>873</v>
      </c>
      <c r="B27" s="36"/>
      <c r="C27" s="36"/>
      <c r="D27" s="36"/>
      <c r="E27" s="36"/>
      <c r="F27" s="47"/>
      <c r="K27" s="3" t="s">
        <v>290</v>
      </c>
    </row>
    <row r="28" spans="1:30" ht="18" customHeight="1">
      <c r="A28" s="42" t="s">
        <v>1297</v>
      </c>
      <c r="B28" s="36"/>
      <c r="C28" s="36"/>
      <c r="D28" s="36"/>
      <c r="E28" s="36"/>
      <c r="F28" s="47"/>
      <c r="K28" s="3" t="s">
        <v>97</v>
      </c>
      <c r="AA28" s="40"/>
      <c r="AB28" s="6"/>
      <c r="AC28" s="40"/>
      <c r="AD28" s="7"/>
    </row>
    <row r="29" spans="1:38" ht="18" customHeight="1">
      <c r="A29" s="44" t="str">
        <f>CONCATENATE("  (",TEXT($AB29,"#,##0.00")," * _x001D_83,000_x001D_) / ",TEXT($AF29,"#,##0.00")," =",TEXT($AJ29,"#,##0.00"))</f>
        <v>  (0.00 * _x001D_83,000_x001D_) / 0.00 =0.00</v>
      </c>
      <c r="B29" s="36"/>
      <c r="C29" s="36"/>
      <c r="D29" s="36"/>
      <c r="E29" s="36"/>
      <c r="F29" s="47" t="s">
        <v>1297</v>
      </c>
      <c r="K29" s="3" t="s">
        <v>679</v>
      </c>
      <c r="AA29" s="40"/>
      <c r="AB29" s="8"/>
      <c r="AC29" s="40"/>
      <c r="AD29" s="7"/>
      <c r="AE29" s="40"/>
      <c r="AF29" s="8"/>
      <c r="AG29" s="40"/>
      <c r="AH29" s="7"/>
      <c r="AI29" s="41"/>
      <c r="AJ29" s="8"/>
      <c r="AK29" s="41"/>
      <c r="AL29" s="7"/>
    </row>
    <row r="30" spans="1:11" ht="18" customHeight="1">
      <c r="A30" s="42" t="s">
        <v>1297</v>
      </c>
      <c r="B30" s="36"/>
      <c r="C30" s="36"/>
      <c r="D30" s="36"/>
      <c r="E30" s="36"/>
      <c r="F30" s="47"/>
      <c r="K30" s="3" t="s">
        <v>1297</v>
      </c>
    </row>
    <row r="31" spans="1:32" ht="18" customHeight="1">
      <c r="A31" s="42" t="s">
        <v>15</v>
      </c>
      <c r="B31" s="37">
        <f>SUM($C31,$D31,$E31)</f>
        <v>0</v>
      </c>
      <c r="C31" s="37">
        <f>$AB31</f>
        <v>0</v>
      </c>
      <c r="D31" s="37">
        <f>$AD31</f>
        <v>0</v>
      </c>
      <c r="E31" s="37">
        <f>$AF31</f>
        <v>0</v>
      </c>
      <c r="F31" s="48"/>
      <c r="K31" s="3" t="s">
        <v>783</v>
      </c>
      <c r="AA31" s="40"/>
      <c r="AB31" s="7"/>
      <c r="AC31" s="40"/>
      <c r="AD31" s="7"/>
      <c r="AE31" s="40"/>
      <c r="AF31" s="7"/>
    </row>
    <row r="32" spans="1:11" ht="18" customHeight="1">
      <c r="A32" s="42" t="s">
        <v>1297</v>
      </c>
      <c r="B32" s="36"/>
      <c r="C32" s="36"/>
      <c r="D32" s="36"/>
      <c r="E32" s="36"/>
      <c r="F32" s="47"/>
      <c r="K32" s="3" t="s">
        <v>1297</v>
      </c>
    </row>
    <row r="33" spans="1:11" ht="18" customHeight="1">
      <c r="A33" s="42" t="s">
        <v>1297</v>
      </c>
      <c r="B33" s="36"/>
      <c r="C33" s="36"/>
      <c r="D33" s="36"/>
      <c r="E33" s="36"/>
      <c r="F33" s="47"/>
      <c r="K33" s="3" t="s">
        <v>1297</v>
      </c>
    </row>
    <row r="34" spans="1:11" ht="18" customHeight="1">
      <c r="A34" s="42" t="s">
        <v>196</v>
      </c>
      <c r="B34" s="36"/>
      <c r="C34" s="36"/>
      <c r="D34" s="36"/>
      <c r="E34" s="36"/>
      <c r="F34" s="47"/>
      <c r="K34" s="3" t="s">
        <v>196</v>
      </c>
    </row>
    <row r="35" spans="1:11" ht="18" customHeight="1">
      <c r="A35" s="42" t="s">
        <v>839</v>
      </c>
      <c r="B35" s="36"/>
      <c r="C35" s="36"/>
      <c r="D35" s="36"/>
      <c r="E35" s="36"/>
      <c r="F35" s="47"/>
      <c r="K35" s="3" t="s">
        <v>839</v>
      </c>
    </row>
    <row r="36" spans="1:11" ht="18" customHeight="1">
      <c r="A36" s="42" t="s">
        <v>1297</v>
      </c>
      <c r="B36" s="36"/>
      <c r="C36" s="36"/>
      <c r="D36" s="36"/>
      <c r="E36" s="36"/>
      <c r="F36" s="47"/>
      <c r="K36" s="3" t="s">
        <v>1297</v>
      </c>
    </row>
    <row r="37" spans="1:38" ht="18" customHeight="1">
      <c r="A37" s="44" t="str">
        <f>CONCATENATE("   q=",TEXT($AB37,"#,##0.0"),",  f= 1/1.5= ",TEXT($AJ37,"#,##0.00"))</f>
        <v>   q=0.0,  f= 1/1.5= 0.00</v>
      </c>
      <c r="B37" s="36">
        <f>SUM($C37,$D37,$E37)</f>
        <v>0</v>
      </c>
      <c r="C37" s="36"/>
      <c r="D37" s="36"/>
      <c r="E37" s="36"/>
      <c r="F37" s="47"/>
      <c r="K37" s="10" t="str">
        <f>SUBSTITUTE(SUBSTITUTE("   q= 0.2,  f= 1/1.5= ?","0.2",TEXT($AB37,"#,##0.0"),1),"_x001D_","'")</f>
        <v>   q= 0.0,  f= 1/1.5= ?</v>
      </c>
      <c r="AA37" s="40"/>
      <c r="AB37" s="6"/>
      <c r="AC37" s="40"/>
      <c r="AD37" s="7"/>
      <c r="AE37" s="40"/>
      <c r="AF37" s="8"/>
      <c r="AG37" s="40"/>
      <c r="AH37" s="7"/>
      <c r="AI37" s="40"/>
      <c r="AJ37" s="8"/>
      <c r="AK37" s="40"/>
      <c r="AL37" s="7"/>
    </row>
    <row r="38" spans="1:11" ht="18" customHeight="1">
      <c r="A38" s="42" t="s">
        <v>1297</v>
      </c>
      <c r="B38" s="36"/>
      <c r="C38" s="36"/>
      <c r="D38" s="36"/>
      <c r="E38" s="36"/>
      <c r="F38" s="47"/>
      <c r="K38" s="3" t="s">
        <v>1297</v>
      </c>
    </row>
    <row r="39" spans="1:30" ht="18" customHeight="1">
      <c r="A39" s="44" t="str">
        <f>CONCATENATE("   E=",TEXT($AB39,"#,##0.00"))</f>
        <v>   E=0.00</v>
      </c>
      <c r="B39" s="36"/>
      <c r="C39" s="36"/>
      <c r="D39" s="36"/>
      <c r="E39" s="36"/>
      <c r="F39" s="47"/>
      <c r="K39" s="10" t="str">
        <f>SUBSTITUTE(SUBSTITUTE("   E= 0.45","0.45",TEXT($AB39,"#,##0.00"),1),"_x001D_","'")</f>
        <v>   E= 0.00</v>
      </c>
      <c r="AA39" s="40"/>
      <c r="AB39" s="6"/>
      <c r="AC39" s="40"/>
      <c r="AD39" s="7"/>
    </row>
    <row r="40" spans="1:11" ht="18" customHeight="1">
      <c r="A40" s="42" t="s">
        <v>1297</v>
      </c>
      <c r="B40" s="36"/>
      <c r="C40" s="36"/>
      <c r="D40" s="36"/>
      <c r="E40" s="36"/>
      <c r="F40" s="47"/>
      <c r="K40" s="3" t="s">
        <v>1297</v>
      </c>
    </row>
    <row r="41" spans="1:34" ht="18" customHeight="1">
      <c r="A41" s="44" t="str">
        <f>CONCATENATE("   K=",TEXT($AB41,"#,##0.00")," , Cm=",TEXT($AF41,"#,##0.00")," sec (135˚)")</f>
        <v>   K=0.00 , Cm=0.00 sec (135˚)</v>
      </c>
      <c r="B41" s="36"/>
      <c r="C41" s="36"/>
      <c r="D41" s="36"/>
      <c r="E41" s="36"/>
      <c r="F41" s="47"/>
      <c r="K41" s="10" t="str">
        <f>SUBSTITUTE(SUBSTITUTE(SUBSTITUTE("   K= 0.55 , Cm= 18_x001D_sec (135˚)_x001D_","0.55",TEXT($AB41,"#,##0.00"),1),"18",TEXT($AF41,"#,##0"),1),"_x001D_","'")</f>
        <v>   K= 0.00 , Cm= 0'sec (135˚)'</v>
      </c>
      <c r="AA41" s="40"/>
      <c r="AB41" s="6"/>
      <c r="AC41" s="40"/>
      <c r="AD41" s="7"/>
      <c r="AE41" s="40"/>
      <c r="AF41" s="6"/>
      <c r="AG41" s="40"/>
      <c r="AH41" s="7"/>
    </row>
    <row r="42" spans="1:11" ht="18" customHeight="1">
      <c r="A42" s="42" t="s">
        <v>1297</v>
      </c>
      <c r="B42" s="36"/>
      <c r="C42" s="36"/>
      <c r="D42" s="36"/>
      <c r="E42" s="36"/>
      <c r="F42" s="47"/>
      <c r="K42" s="3" t="s">
        <v>1297</v>
      </c>
    </row>
    <row r="43" spans="1:34" ht="18" customHeight="1">
      <c r="A43" s="44" t="str">
        <f>CONCATENATE("   Q = 3600*q*K*f*E/Cm =",TEXT($AF43,"#,##0.00")," ㎥/hr ")</f>
        <v>   Q = 3600*q*K*f*E/Cm =0.00 ㎥/hr </v>
      </c>
      <c r="B43" s="36">
        <f>SUM($C43,$D43,$E43)</f>
        <v>0</v>
      </c>
      <c r="C43" s="36"/>
      <c r="D43" s="36"/>
      <c r="E43" s="36"/>
      <c r="F43" s="47"/>
      <c r="K43" s="3" t="s">
        <v>1183</v>
      </c>
      <c r="AA43" s="40"/>
      <c r="AB43" s="8"/>
      <c r="AC43" s="40"/>
      <c r="AD43" s="7"/>
      <c r="AE43" s="40"/>
      <c r="AF43" s="8"/>
      <c r="AG43" s="40"/>
      <c r="AH43" s="7"/>
    </row>
    <row r="44" spans="1:11" ht="18" customHeight="1">
      <c r="A44" s="42" t="s">
        <v>1297</v>
      </c>
      <c r="B44" s="36"/>
      <c r="C44" s="36"/>
      <c r="D44" s="36"/>
      <c r="E44" s="36"/>
      <c r="F44" s="47"/>
      <c r="K44" s="3" t="s">
        <v>1297</v>
      </c>
    </row>
    <row r="45" spans="1:34" ht="18" customHeight="1">
      <c r="A45" s="44" t="str">
        <f>CONCATENATE(" .노무비: _x001D_47,849_x001D_ / ",TEXT($AB45,"#,##0.00")," = ",TEXT($AF45,"#,##0.00"))</f>
        <v> .노무비: _x001D_47,849_x001D_ / 0.00 = 0.00</v>
      </c>
      <c r="B45" s="36">
        <f>SUM($C45,$D45,$E45)</f>
        <v>0</v>
      </c>
      <c r="C45" s="36"/>
      <c r="D45" s="36">
        <f>$AF45</f>
        <v>0</v>
      </c>
      <c r="E45" s="36"/>
      <c r="F45" s="47" t="s">
        <v>1297</v>
      </c>
      <c r="K45" s="3" t="s">
        <v>305</v>
      </c>
      <c r="AA45" s="40"/>
      <c r="AB45" s="8"/>
      <c r="AC45" s="40"/>
      <c r="AD45" s="7"/>
      <c r="AE45" s="41"/>
      <c r="AF45" s="8"/>
      <c r="AG45" s="41"/>
      <c r="AH45" s="7"/>
    </row>
    <row r="46" spans="1:11" ht="18" customHeight="1">
      <c r="A46" s="42" t="s">
        <v>1297</v>
      </c>
      <c r="B46" s="36"/>
      <c r="C46" s="36"/>
      <c r="D46" s="36"/>
      <c r="E46" s="36"/>
      <c r="F46" s="47"/>
      <c r="K46" s="3" t="s">
        <v>1297</v>
      </c>
    </row>
    <row r="47" spans="1:34" ht="18" customHeight="1">
      <c r="A47" s="44" t="str">
        <f>CONCATENATE(" .재료비: _x001D_10,103.5_x001D_ / ",TEXT($AB47,"#,##0.00")," = ",TEXT($AF47,"#,##0.00"))</f>
        <v> .재료비: _x001D_10,103.5_x001D_ / 0.00 = 0.00</v>
      </c>
      <c r="B47" s="36">
        <f>SUM($C47,$D47,$E47)</f>
        <v>0</v>
      </c>
      <c r="C47" s="36">
        <f>$AF47</f>
        <v>0</v>
      </c>
      <c r="D47" s="36"/>
      <c r="E47" s="36"/>
      <c r="F47" s="47" t="s">
        <v>1297</v>
      </c>
      <c r="K47" s="3" t="s">
        <v>712</v>
      </c>
      <c r="AA47" s="40"/>
      <c r="AB47" s="8"/>
      <c r="AC47" s="40"/>
      <c r="AD47" s="7"/>
      <c r="AE47" s="41"/>
      <c r="AF47" s="8"/>
      <c r="AG47" s="41"/>
      <c r="AH47" s="7"/>
    </row>
    <row r="48" spans="1:11" ht="18" customHeight="1">
      <c r="A48" s="42" t="s">
        <v>1297</v>
      </c>
      <c r="B48" s="36"/>
      <c r="C48" s="36"/>
      <c r="D48" s="36"/>
      <c r="E48" s="36"/>
      <c r="F48" s="47"/>
      <c r="K48" s="3" t="s">
        <v>1297</v>
      </c>
    </row>
    <row r="49" spans="1:34" ht="18" customHeight="1">
      <c r="A49" s="44" t="str">
        <f>CONCATENATE(" .경  비: _x001D_12,688_x001D_ / ",TEXT($AB49,"#,##0.00")," = ",TEXT($AF49,"#,##0.00"))</f>
        <v> .경  비: _x001D_12,688_x001D_ / 0.00 = 0.00</v>
      </c>
      <c r="B49" s="36">
        <f>SUM($C49,$D49,$E49)</f>
        <v>0</v>
      </c>
      <c r="C49" s="36"/>
      <c r="D49" s="36"/>
      <c r="E49" s="36">
        <f>$AF49</f>
        <v>0</v>
      </c>
      <c r="F49" s="47" t="s">
        <v>1297</v>
      </c>
      <c r="K49" s="3" t="s">
        <v>374</v>
      </c>
      <c r="AA49" s="40"/>
      <c r="AB49" s="8"/>
      <c r="AC49" s="40"/>
      <c r="AD49" s="7"/>
      <c r="AE49" s="41"/>
      <c r="AF49" s="8"/>
      <c r="AG49" s="41"/>
      <c r="AH49" s="7"/>
    </row>
    <row r="50" spans="1:11" ht="18" customHeight="1">
      <c r="A50" s="42" t="s">
        <v>1297</v>
      </c>
      <c r="B50" s="36"/>
      <c r="C50" s="36"/>
      <c r="D50" s="36"/>
      <c r="E50" s="36"/>
      <c r="F50" s="47"/>
      <c r="K50" s="3" t="s">
        <v>1297</v>
      </c>
    </row>
    <row r="51" spans="1:32" ht="18" customHeight="1">
      <c r="A51" s="42" t="s">
        <v>914</v>
      </c>
      <c r="B51" s="37">
        <f>SUM($C51,$D51,$E51)</f>
        <v>0</v>
      </c>
      <c r="C51" s="37">
        <f>$AB51</f>
        <v>0</v>
      </c>
      <c r="D51" s="37">
        <f>$AD51</f>
        <v>0</v>
      </c>
      <c r="E51" s="37">
        <f>$AF51</f>
        <v>0</v>
      </c>
      <c r="F51" s="48"/>
      <c r="K51" s="3" t="s">
        <v>925</v>
      </c>
      <c r="AA51" s="40"/>
      <c r="AB51" s="7"/>
      <c r="AC51" s="40"/>
      <c r="AD51" s="7"/>
      <c r="AE51" s="40"/>
      <c r="AF51" s="7"/>
    </row>
    <row r="52" spans="1:11" ht="18" customHeight="1">
      <c r="A52" s="42" t="s">
        <v>1297</v>
      </c>
      <c r="B52" s="36"/>
      <c r="C52" s="36"/>
      <c r="D52" s="36"/>
      <c r="E52" s="36"/>
      <c r="F52" s="47"/>
      <c r="K52" s="3" t="s">
        <v>1297</v>
      </c>
    </row>
    <row r="53" spans="1:11" ht="18" customHeight="1">
      <c r="A53" s="42" t="s">
        <v>1297</v>
      </c>
      <c r="B53" s="36"/>
      <c r="C53" s="36"/>
      <c r="D53" s="36"/>
      <c r="E53" s="36"/>
      <c r="F53" s="47"/>
      <c r="K53" s="3" t="s">
        <v>1297</v>
      </c>
    </row>
    <row r="54" spans="1:32" ht="18" customHeight="1">
      <c r="A54" s="42" t="s">
        <v>22</v>
      </c>
      <c r="B54" s="38">
        <f>SUM($C54,$D54,$E54)</f>
        <v>0</v>
      </c>
      <c r="C54" s="38">
        <f>$AB54</f>
        <v>0</v>
      </c>
      <c r="D54" s="38">
        <f>$AD54</f>
        <v>0</v>
      </c>
      <c r="E54" s="38">
        <f>$AF54</f>
        <v>0</v>
      </c>
      <c r="F54" s="49"/>
      <c r="K54" s="3" t="s">
        <v>220</v>
      </c>
      <c r="AA54" s="40"/>
      <c r="AB54" s="7"/>
      <c r="AC54" s="40"/>
      <c r="AD54" s="7"/>
      <c r="AE54" s="40"/>
      <c r="AF54" s="7"/>
    </row>
    <row r="55" spans="1:6" ht="18" customHeight="1">
      <c r="A55" s="42"/>
      <c r="B55" s="3"/>
      <c r="C55" s="3"/>
      <c r="D55" s="3"/>
      <c r="E55" s="3"/>
      <c r="F55" s="46"/>
    </row>
    <row r="56" spans="1:6" ht="18" customHeight="1">
      <c r="A56" s="45" t="s">
        <v>726</v>
      </c>
      <c r="B56" s="39">
        <f>SUM($C56,$D56,$E56)</f>
        <v>0</v>
      </c>
      <c r="C56" s="39">
        <f>TRUNC(SUM($AH47),0)</f>
        <v>0</v>
      </c>
      <c r="D56" s="39">
        <f>TRUNC(SUM($AH45),0)</f>
        <v>0</v>
      </c>
      <c r="E56" s="39">
        <f>TRUNC(SUM($AH49),0)</f>
        <v>0</v>
      </c>
      <c r="F56" s="50"/>
    </row>
    <row r="57" spans="1:6" ht="18" customHeight="1">
      <c r="A57" s="42"/>
      <c r="B57" s="3"/>
      <c r="C57" s="3"/>
      <c r="D57" s="3"/>
      <c r="E57" s="3"/>
      <c r="F57" s="46"/>
    </row>
    <row r="58" spans="1:26" ht="18" customHeight="1">
      <c r="A58" s="42" t="s">
        <v>225</v>
      </c>
      <c r="B58" s="36">
        <f>$B120</f>
        <v>0</v>
      </c>
      <c r="C58" s="36">
        <f>$C120</f>
        <v>0</v>
      </c>
      <c r="D58" s="36">
        <f>$D120</f>
        <v>0</v>
      </c>
      <c r="E58" s="36">
        <f>$E120</f>
        <v>0</v>
      </c>
      <c r="F58" s="46" t="s">
        <v>1297</v>
      </c>
      <c r="H58" t="s">
        <v>27</v>
      </c>
      <c r="K58">
        <v>1</v>
      </c>
      <c r="Y58" s="7" t="b">
        <f>EXACT($Z58,$B120)</f>
        <v>0</v>
      </c>
      <c r="Z58" s="39"/>
    </row>
    <row r="59" spans="1:6" ht="18" customHeight="1">
      <c r="A59" s="43"/>
      <c r="B59" s="3"/>
      <c r="C59" s="3"/>
      <c r="D59" s="3"/>
      <c r="E59" s="3"/>
      <c r="F59" s="46"/>
    </row>
    <row r="60" spans="1:11" ht="18" customHeight="1">
      <c r="A60" s="42" t="s">
        <v>1297</v>
      </c>
      <c r="B60" s="3"/>
      <c r="C60" s="3"/>
      <c r="D60" s="3"/>
      <c r="E60" s="3"/>
      <c r="F60" s="46"/>
      <c r="I60" t="s">
        <v>166</v>
      </c>
      <c r="K60" t="s">
        <v>1085</v>
      </c>
    </row>
    <row r="61" spans="1:11" ht="18" customHeight="1">
      <c r="A61" s="42" t="s">
        <v>1048</v>
      </c>
      <c r="B61" s="36"/>
      <c r="C61" s="36"/>
      <c r="D61" s="36"/>
      <c r="E61" s="36"/>
      <c r="F61" s="47"/>
      <c r="K61" s="3" t="s">
        <v>1048</v>
      </c>
    </row>
    <row r="62" spans="1:11" ht="18" customHeight="1">
      <c r="A62" s="42" t="s">
        <v>1297</v>
      </c>
      <c r="B62" s="36"/>
      <c r="C62" s="36"/>
      <c r="D62" s="36"/>
      <c r="E62" s="36"/>
      <c r="F62" s="47"/>
      <c r="K62" s="3" t="s">
        <v>1297</v>
      </c>
    </row>
    <row r="63" spans="1:30" ht="18" customHeight="1">
      <c r="A63" s="44" t="str">
        <f>CONCATENATE(" ○ 1일 시공량 :  A=",TEXT($AB63,"#,##0.00")," M/일")</f>
        <v> ○ 1일 시공량 :  A=0.00 M/일</v>
      </c>
      <c r="B63" s="36"/>
      <c r="C63" s="36"/>
      <c r="D63" s="36"/>
      <c r="E63" s="36"/>
      <c r="F63" s="47"/>
      <c r="K63" s="10" t="str">
        <f>SUBSTITUTE(SUBSTITUTE("_x001D_○ 1일 시공량 :_x001D_ A = 500_x001D_M/일_x001D_","500",TEXT($AB63,"#,##0"),1),"_x001D_","'")</f>
        <v>'○ 1일 시공량 :' A = 0'M/일'</v>
      </c>
      <c r="AA63" s="40"/>
      <c r="AB63" s="6"/>
      <c r="AC63" s="40"/>
      <c r="AD63" s="7"/>
    </row>
    <row r="64" spans="1:11" ht="18" customHeight="1">
      <c r="A64" s="42" t="s">
        <v>1297</v>
      </c>
      <c r="B64" s="36"/>
      <c r="C64" s="36"/>
      <c r="D64" s="36"/>
      <c r="E64" s="36"/>
      <c r="F64" s="47"/>
      <c r="K64" s="3" t="s">
        <v>1297</v>
      </c>
    </row>
    <row r="65" spans="1:38" ht="18" customHeight="1">
      <c r="A65" s="44" t="str">
        <f>CONCATENATE(" ○ 1시간 작업량 :  Q = ",TEXT($AB65,"#,##0.00")," / 8 hr  =",TEXT($AJ65,"#,##0.00")," M/hr ")</f>
        <v> ○ 1시간 작업량 :  Q = 0.00 / 8 hr  =0.00 M/hr </v>
      </c>
      <c r="B65" s="36">
        <f>SUM($C65,$D65,$E65)</f>
        <v>0</v>
      </c>
      <c r="C65" s="36"/>
      <c r="D65" s="36"/>
      <c r="E65" s="36"/>
      <c r="F65" s="47"/>
      <c r="K65" s="3" t="s">
        <v>249</v>
      </c>
      <c r="AA65" s="40"/>
      <c r="AB65" s="8"/>
      <c r="AC65" s="40"/>
      <c r="AD65" s="7"/>
      <c r="AE65" s="40"/>
      <c r="AF65" s="8"/>
      <c r="AG65" s="40"/>
      <c r="AH65" s="7"/>
      <c r="AI65" s="40"/>
      <c r="AJ65" s="8"/>
      <c r="AK65" s="40"/>
      <c r="AL65" s="7"/>
    </row>
    <row r="66" spans="1:11" ht="18" customHeight="1">
      <c r="A66" s="42" t="s">
        <v>1297</v>
      </c>
      <c r="B66" s="36"/>
      <c r="C66" s="36"/>
      <c r="D66" s="36"/>
      <c r="E66" s="36"/>
      <c r="F66" s="47"/>
      <c r="K66" s="3" t="s">
        <v>1297</v>
      </c>
    </row>
    <row r="67" spans="1:11" ht="18" customHeight="1">
      <c r="A67" s="42" t="s">
        <v>407</v>
      </c>
      <c r="B67" s="36"/>
      <c r="C67" s="36"/>
      <c r="D67" s="36"/>
      <c r="E67" s="36"/>
      <c r="F67" s="47"/>
      <c r="K67" s="3" t="s">
        <v>815</v>
      </c>
    </row>
    <row r="68" spans="1:11" ht="18" customHeight="1">
      <c r="A68" s="42" t="s">
        <v>1297</v>
      </c>
      <c r="B68" s="36"/>
      <c r="C68" s="36"/>
      <c r="D68" s="36"/>
      <c r="E68" s="36"/>
      <c r="F68" s="47"/>
      <c r="K68" s="3" t="s">
        <v>1297</v>
      </c>
    </row>
    <row r="69" spans="1:34" ht="18" customHeight="1">
      <c r="A69" s="44" t="str">
        <f>CONCATENATE(" ○ 물운반 :  B=2000 ℓ / 100 M / 1000 = ",TEXT($AF69,"#,##0.00")," ton ")</f>
        <v> ○ 물운반 :  B=2000 ℓ / 100 M / 1000 = 0.00 ton </v>
      </c>
      <c r="B69" s="36">
        <f>SUM($C69,$D69,$E69)</f>
        <v>0</v>
      </c>
      <c r="C69" s="36"/>
      <c r="D69" s="36"/>
      <c r="E69" s="36"/>
      <c r="F69" s="47"/>
      <c r="K69" s="3" t="s">
        <v>1256</v>
      </c>
      <c r="AA69" s="40"/>
      <c r="AB69" s="8"/>
      <c r="AC69" s="40"/>
      <c r="AD69" s="7"/>
      <c r="AE69" s="40"/>
      <c r="AF69" s="8"/>
      <c r="AG69" s="40"/>
      <c r="AH69" s="7"/>
    </row>
    <row r="70" spans="1:11" ht="18" customHeight="1">
      <c r="A70" s="42" t="s">
        <v>1297</v>
      </c>
      <c r="B70" s="36"/>
      <c r="C70" s="36"/>
      <c r="D70" s="36"/>
      <c r="E70" s="36"/>
      <c r="F70" s="47"/>
      <c r="K70" s="3" t="s">
        <v>1297</v>
      </c>
    </row>
    <row r="71" spans="1:11" ht="18" customHeight="1">
      <c r="A71" s="42" t="s">
        <v>465</v>
      </c>
      <c r="B71" s="36"/>
      <c r="C71" s="36"/>
      <c r="D71" s="36"/>
      <c r="E71" s="36"/>
      <c r="F71" s="47"/>
      <c r="K71" s="3" t="s">
        <v>465</v>
      </c>
    </row>
    <row r="72" spans="1:11" ht="18" customHeight="1">
      <c r="A72" s="42" t="s">
        <v>1297</v>
      </c>
      <c r="B72" s="36"/>
      <c r="C72" s="36"/>
      <c r="D72" s="36"/>
      <c r="E72" s="36"/>
      <c r="F72" s="47"/>
      <c r="K72" s="3" t="s">
        <v>1297</v>
      </c>
    </row>
    <row r="73" spans="1:30" ht="18" customHeight="1">
      <c r="A73" s="44" t="str">
        <f>CONCATENATE("   블레이드 : (0.27/100) 개 * _x001D_169,800_x001D_=",TEXT($AB73,"#,##0.00"))</f>
        <v>   블레이드 : (0.27/100) 개 * _x001D_169,800_x001D_=0.00</v>
      </c>
      <c r="B73" s="36">
        <f>SUM($C73,$D73,$E73)</f>
        <v>0</v>
      </c>
      <c r="C73" s="36">
        <f>$AB73</f>
        <v>0</v>
      </c>
      <c r="D73" s="36"/>
      <c r="E73" s="36"/>
      <c r="F73" s="47" t="s">
        <v>1297</v>
      </c>
      <c r="K73" s="3" t="s">
        <v>1087</v>
      </c>
      <c r="AA73" s="41"/>
      <c r="AB73" s="8"/>
      <c r="AC73" s="41"/>
      <c r="AD73" s="7"/>
    </row>
    <row r="74" spans="1:11" ht="18" customHeight="1">
      <c r="A74" s="42" t="s">
        <v>1297</v>
      </c>
      <c r="B74" s="36"/>
      <c r="C74" s="36"/>
      <c r="D74" s="36"/>
      <c r="E74" s="36"/>
      <c r="F74" s="47"/>
      <c r="K74" s="3" t="s">
        <v>1297</v>
      </c>
    </row>
    <row r="75" spans="1:34" ht="18" customHeight="1">
      <c r="A75" s="44" t="str">
        <f>CONCATENATE("   물 : ",TEXT($AB75,"#,##0.00")," ton * _x001D_480_x001D_ =",TEXT($AF75,"#,##0.00"))</f>
        <v>   물 : 0.00 ton * _x001D_480_x001D_ =0.00</v>
      </c>
      <c r="B75" s="36">
        <f>SUM($C75,$D75,$E75)</f>
        <v>0</v>
      </c>
      <c r="C75" s="36">
        <f>$AF75</f>
        <v>0</v>
      </c>
      <c r="D75" s="36"/>
      <c r="E75" s="36"/>
      <c r="F75" s="47" t="s">
        <v>1297</v>
      </c>
      <c r="K75" s="3" t="s">
        <v>480</v>
      </c>
      <c r="AA75" s="40"/>
      <c r="AB75" s="8"/>
      <c r="AC75" s="40"/>
      <c r="AD75" s="7"/>
      <c r="AE75" s="41"/>
      <c r="AF75" s="8"/>
      <c r="AG75" s="41"/>
      <c r="AH75" s="7"/>
    </row>
    <row r="76" spans="1:11" ht="18" customHeight="1">
      <c r="A76" s="42" t="s">
        <v>1297</v>
      </c>
      <c r="B76" s="36"/>
      <c r="C76" s="36"/>
      <c r="D76" s="36"/>
      <c r="E76" s="36"/>
      <c r="F76" s="47"/>
      <c r="K76" s="3" t="s">
        <v>1297</v>
      </c>
    </row>
    <row r="77" spans="1:28" ht="18" customHeight="1">
      <c r="A77" s="42" t="s">
        <v>183</v>
      </c>
      <c r="B77" s="37">
        <f>SUM($C77,$D77,$E77)</f>
        <v>0</v>
      </c>
      <c r="C77" s="37">
        <f>$AB77</f>
        <v>0</v>
      </c>
      <c r="D77" s="37">
        <f>$AD77</f>
        <v>0</v>
      </c>
      <c r="E77" s="37">
        <f>$AF77</f>
        <v>0</v>
      </c>
      <c r="F77" s="48"/>
      <c r="K77" s="3" t="s">
        <v>801</v>
      </c>
      <c r="AA77" s="40"/>
      <c r="AB77" s="7"/>
    </row>
    <row r="78" spans="1:11" ht="18" customHeight="1">
      <c r="A78" s="42" t="s">
        <v>1297</v>
      </c>
      <c r="B78" s="36"/>
      <c r="C78" s="36"/>
      <c r="D78" s="36"/>
      <c r="E78" s="36"/>
      <c r="F78" s="47"/>
      <c r="K78" s="3" t="s">
        <v>1297</v>
      </c>
    </row>
    <row r="79" spans="1:11" ht="18" customHeight="1">
      <c r="A79" s="42" t="s">
        <v>488</v>
      </c>
      <c r="B79" s="36"/>
      <c r="C79" s="36"/>
      <c r="D79" s="36"/>
      <c r="E79" s="36"/>
      <c r="F79" s="47"/>
      <c r="K79" s="3" t="s">
        <v>488</v>
      </c>
    </row>
    <row r="80" spans="1:11" ht="18" customHeight="1">
      <c r="A80" s="42" t="s">
        <v>1297</v>
      </c>
      <c r="B80" s="36"/>
      <c r="C80" s="36"/>
      <c r="D80" s="36"/>
      <c r="E80" s="36"/>
      <c r="F80" s="47"/>
      <c r="K80" s="3" t="s">
        <v>1297</v>
      </c>
    </row>
    <row r="81" spans="1:34" ht="18" customHeight="1">
      <c r="A81" s="44" t="str">
        <f>CONCATENATE("   특별인부 :  1 인  / ",TEXT($AB81,"#,##0.00")," * _x001D_187,435_x001D_ = ",TEXT($AF81,"#,##0.00"))</f>
        <v>   특별인부 :  1 인  / 0.00 * _x001D_187,435_x001D_ = 0.00</v>
      </c>
      <c r="B81" s="36">
        <f>SUM($C81,$D81,$E81)</f>
        <v>0</v>
      </c>
      <c r="C81" s="36"/>
      <c r="D81" s="36">
        <f>$AF81</f>
        <v>0</v>
      </c>
      <c r="E81" s="36"/>
      <c r="F81" s="47" t="s">
        <v>1297</v>
      </c>
      <c r="K81" s="3" t="s">
        <v>354</v>
      </c>
      <c r="AA81" s="40"/>
      <c r="AB81" s="8"/>
      <c r="AC81" s="40"/>
      <c r="AD81" s="7"/>
      <c r="AE81" s="41"/>
      <c r="AF81" s="8"/>
      <c r="AG81" s="41"/>
      <c r="AH81" s="7"/>
    </row>
    <row r="82" spans="1:11" ht="18" customHeight="1">
      <c r="A82" s="42" t="s">
        <v>1297</v>
      </c>
      <c r="B82" s="36"/>
      <c r="C82" s="36"/>
      <c r="D82" s="36"/>
      <c r="E82" s="36"/>
      <c r="F82" s="47"/>
      <c r="K82" s="3" t="s">
        <v>1297</v>
      </c>
    </row>
    <row r="83" spans="1:34" ht="18" customHeight="1">
      <c r="A83" s="44" t="str">
        <f>CONCATENATE("   보통인부 :  1 인  / ",TEXT($AB83,"#,##0.00")," * _x001D_148,510_x001D_ = ",TEXT($AF83,"#,##0.00"))</f>
        <v>   보통인부 :  1 인  / 0.00 * _x001D_148,510_x001D_ = 0.00</v>
      </c>
      <c r="B83" s="36">
        <f>SUM($C83,$D83,$E83)</f>
        <v>0</v>
      </c>
      <c r="C83" s="36"/>
      <c r="D83" s="36">
        <f>$AF83</f>
        <v>0</v>
      </c>
      <c r="E83" s="36"/>
      <c r="F83" s="47" t="s">
        <v>1297</v>
      </c>
      <c r="K83" s="3" t="s">
        <v>343</v>
      </c>
      <c r="AA83" s="40"/>
      <c r="AB83" s="8"/>
      <c r="AC83" s="40"/>
      <c r="AD83" s="7"/>
      <c r="AE83" s="41"/>
      <c r="AF83" s="8"/>
      <c r="AG83" s="41"/>
      <c r="AH83" s="7"/>
    </row>
    <row r="84" spans="1:11" ht="18" customHeight="1">
      <c r="A84" s="42" t="s">
        <v>1297</v>
      </c>
      <c r="B84" s="36"/>
      <c r="C84" s="36"/>
      <c r="D84" s="36"/>
      <c r="E84" s="36"/>
      <c r="F84" s="47"/>
      <c r="K84" s="3" t="s">
        <v>1297</v>
      </c>
    </row>
    <row r="85" spans="1:30" ht="18" customHeight="1">
      <c r="A85" s="42" t="s">
        <v>183</v>
      </c>
      <c r="B85" s="37">
        <f>SUM($C85,$D85,$E85)</f>
        <v>0</v>
      </c>
      <c r="C85" s="37">
        <f>$AB85</f>
        <v>0</v>
      </c>
      <c r="D85" s="37">
        <f>$AD85</f>
        <v>0</v>
      </c>
      <c r="E85" s="37">
        <f>$AF85</f>
        <v>0</v>
      </c>
      <c r="F85" s="48"/>
      <c r="K85" s="3" t="s">
        <v>801</v>
      </c>
      <c r="AA85" s="40"/>
      <c r="AB85" s="7"/>
      <c r="AC85" s="40"/>
      <c r="AD85" s="7"/>
    </row>
    <row r="86" spans="1:11" ht="18" customHeight="1">
      <c r="A86" s="42" t="s">
        <v>1297</v>
      </c>
      <c r="B86" s="36"/>
      <c r="C86" s="36"/>
      <c r="D86" s="36"/>
      <c r="E86" s="36"/>
      <c r="F86" s="47"/>
      <c r="K86" s="3" t="s">
        <v>1297</v>
      </c>
    </row>
    <row r="87" spans="1:11" ht="18" customHeight="1">
      <c r="A87" s="42" t="s">
        <v>793</v>
      </c>
      <c r="B87" s="36"/>
      <c r="C87" s="36"/>
      <c r="D87" s="36"/>
      <c r="E87" s="36"/>
      <c r="F87" s="47"/>
      <c r="K87" s="3" t="s">
        <v>793</v>
      </c>
    </row>
    <row r="88" spans="1:11" ht="18" customHeight="1">
      <c r="A88" s="42" t="s">
        <v>1297</v>
      </c>
      <c r="B88" s="36"/>
      <c r="C88" s="36"/>
      <c r="D88" s="36"/>
      <c r="E88" s="36"/>
      <c r="F88" s="47"/>
      <c r="K88" s="3" t="s">
        <v>1297</v>
      </c>
    </row>
    <row r="89" spans="1:34" ht="18" customHeight="1">
      <c r="A89" s="44" t="str">
        <f>CONCATENATE("   재 료 비 :  ",TEXT($AB89,"#,##0.00")," TON  * _x001D_2,093_x001D_ = ",TEXT($AF89,"#,##0.00"))</f>
        <v>   재 료 비 :  0.00 TON  * _x001D_2,093_x001D_ = 0.00</v>
      </c>
      <c r="B89" s="36">
        <f>SUM($C89,$D89,$E89)</f>
        <v>0</v>
      </c>
      <c r="C89" s="36">
        <f>$AF89</f>
        <v>0</v>
      </c>
      <c r="D89" s="36"/>
      <c r="E89" s="36"/>
      <c r="F89" s="47" t="s">
        <v>1297</v>
      </c>
      <c r="K89" s="3" t="s">
        <v>1032</v>
      </c>
      <c r="AA89" s="40"/>
      <c r="AB89" s="8"/>
      <c r="AC89" s="40"/>
      <c r="AD89" s="7"/>
      <c r="AE89" s="41"/>
      <c r="AF89" s="8"/>
      <c r="AG89" s="41"/>
      <c r="AH89" s="7"/>
    </row>
    <row r="90" spans="1:11" ht="18" customHeight="1">
      <c r="A90" s="42" t="s">
        <v>1297</v>
      </c>
      <c r="B90" s="36"/>
      <c r="C90" s="36"/>
      <c r="D90" s="36"/>
      <c r="E90" s="36"/>
      <c r="F90" s="47"/>
      <c r="K90" s="3" t="s">
        <v>1297</v>
      </c>
    </row>
    <row r="91" spans="1:34" ht="18" customHeight="1">
      <c r="A91" s="44" t="str">
        <f>CONCATENATE("   노 무 비 :  ",TEXT($AB91,"#,##0.00")," TON  * _x001D_5,445_x001D_ = ",TEXT($AF91,"#,##0.00"))</f>
        <v>   노 무 비 :  0.00 TON  * _x001D_5,445_x001D_ = 0.00</v>
      </c>
      <c r="B91" s="36">
        <f>SUM($C91,$D91,$E91)</f>
        <v>0</v>
      </c>
      <c r="C91" s="36"/>
      <c r="D91" s="36">
        <f>$AF91</f>
        <v>0</v>
      </c>
      <c r="E91" s="36"/>
      <c r="F91" s="47" t="s">
        <v>1297</v>
      </c>
      <c r="K91" s="3" t="s">
        <v>980</v>
      </c>
      <c r="AA91" s="40"/>
      <c r="AB91" s="8"/>
      <c r="AC91" s="40"/>
      <c r="AD91" s="7"/>
      <c r="AE91" s="41"/>
      <c r="AF91" s="8"/>
      <c r="AG91" s="41"/>
      <c r="AH91" s="7"/>
    </row>
    <row r="92" spans="1:11" ht="18" customHeight="1">
      <c r="A92" s="42" t="s">
        <v>1297</v>
      </c>
      <c r="B92" s="36"/>
      <c r="C92" s="36"/>
      <c r="D92" s="36"/>
      <c r="E92" s="36"/>
      <c r="F92" s="47"/>
      <c r="K92" s="3" t="s">
        <v>1297</v>
      </c>
    </row>
    <row r="93" spans="1:34" ht="18" customHeight="1">
      <c r="A93" s="44" t="str">
        <f>CONCATENATE("   경    비 :  ",TEXT($AB93,"#,##0.00")," TON  * _x001D_1,241_x001D_ = ",TEXT($AF93,"#,##0.00"))</f>
        <v>   경    비 :  0.00 TON  * _x001D_1,241_x001D_ = 0.00</v>
      </c>
      <c r="B93" s="36">
        <f>SUM($C93,$D93,$E93)</f>
        <v>0</v>
      </c>
      <c r="C93" s="36"/>
      <c r="D93" s="36"/>
      <c r="E93" s="36">
        <f>$AF93</f>
        <v>0</v>
      </c>
      <c r="F93" s="47" t="s">
        <v>1297</v>
      </c>
      <c r="K93" s="3" t="s">
        <v>433</v>
      </c>
      <c r="AA93" s="40"/>
      <c r="AB93" s="8"/>
      <c r="AC93" s="40"/>
      <c r="AD93" s="7"/>
      <c r="AE93" s="41"/>
      <c r="AF93" s="8"/>
      <c r="AG93" s="41"/>
      <c r="AH93" s="7"/>
    </row>
    <row r="94" spans="1:11" ht="18" customHeight="1">
      <c r="A94" s="42" t="s">
        <v>1297</v>
      </c>
      <c r="B94" s="36"/>
      <c r="C94" s="36"/>
      <c r="D94" s="36"/>
      <c r="E94" s="36"/>
      <c r="F94" s="47"/>
      <c r="K94" s="3" t="s">
        <v>1297</v>
      </c>
    </row>
    <row r="95" spans="1:32" ht="18" customHeight="1">
      <c r="A95" s="42" t="s">
        <v>183</v>
      </c>
      <c r="B95" s="37">
        <f>SUM($C95,$D95,$E95)</f>
        <v>0</v>
      </c>
      <c r="C95" s="37">
        <f>$AB95</f>
        <v>0</v>
      </c>
      <c r="D95" s="37">
        <f>$AD95</f>
        <v>0</v>
      </c>
      <c r="E95" s="37">
        <f>$AF95</f>
        <v>0</v>
      </c>
      <c r="F95" s="48"/>
      <c r="K95" s="3" t="s">
        <v>801</v>
      </c>
      <c r="AA95" s="40"/>
      <c r="AB95" s="7"/>
      <c r="AC95" s="40"/>
      <c r="AD95" s="7"/>
      <c r="AE95" s="40"/>
      <c r="AF95" s="7"/>
    </row>
    <row r="96" spans="1:11" ht="18" customHeight="1">
      <c r="A96" s="42" t="s">
        <v>1297</v>
      </c>
      <c r="B96" s="36"/>
      <c r="C96" s="36"/>
      <c r="D96" s="36"/>
      <c r="E96" s="36"/>
      <c r="F96" s="47"/>
      <c r="K96" s="3" t="s">
        <v>1297</v>
      </c>
    </row>
    <row r="97" spans="1:11" ht="18" customHeight="1">
      <c r="A97" s="42" t="s">
        <v>1054</v>
      </c>
      <c r="B97" s="36"/>
      <c r="C97" s="36"/>
      <c r="D97" s="36"/>
      <c r="E97" s="36"/>
      <c r="F97" s="47"/>
      <c r="K97" s="3" t="s">
        <v>1054</v>
      </c>
    </row>
    <row r="98" spans="1:11" ht="18" customHeight="1">
      <c r="A98" s="42" t="s">
        <v>1297</v>
      </c>
      <c r="B98" s="36"/>
      <c r="C98" s="36"/>
      <c r="D98" s="36"/>
      <c r="E98" s="36"/>
      <c r="F98" s="47"/>
      <c r="K98" s="3" t="s">
        <v>1297</v>
      </c>
    </row>
    <row r="99" spans="1:11" ht="18" customHeight="1">
      <c r="A99" s="42" t="s">
        <v>353</v>
      </c>
      <c r="B99" s="36"/>
      <c r="C99" s="36"/>
      <c r="D99" s="36"/>
      <c r="E99" s="36"/>
      <c r="F99" s="47"/>
      <c r="K99" s="3" t="s">
        <v>353</v>
      </c>
    </row>
    <row r="100" spans="1:11" ht="18" customHeight="1">
      <c r="A100" s="42" t="s">
        <v>1297</v>
      </c>
      <c r="B100" s="36"/>
      <c r="C100" s="36"/>
      <c r="D100" s="36"/>
      <c r="E100" s="36"/>
      <c r="F100" s="47"/>
      <c r="K100" s="3" t="s">
        <v>1297</v>
      </c>
    </row>
    <row r="101" spans="1:34" ht="18" customHeight="1">
      <c r="A101" s="44" t="str">
        <f>CONCATENATE("   노 무 비 :  _x001D_29,239_x001D_ / ",TEXT($AB101,"#,##0.00")," =",TEXT($AF101,"#,##0.00"))</f>
        <v>   노 무 비 :  _x001D_29,239_x001D_ / 0.00 =0.00</v>
      </c>
      <c r="B101" s="36">
        <f>SUM($C101,$D101,$E101)</f>
        <v>0</v>
      </c>
      <c r="C101" s="36"/>
      <c r="D101" s="36">
        <f>$AF101</f>
        <v>0</v>
      </c>
      <c r="E101" s="36"/>
      <c r="F101" s="47" t="s">
        <v>1297</v>
      </c>
      <c r="K101" s="3" t="s">
        <v>425</v>
      </c>
      <c r="AA101" s="40"/>
      <c r="AB101" s="8"/>
      <c r="AC101" s="40"/>
      <c r="AD101" s="7"/>
      <c r="AE101" s="41"/>
      <c r="AF101" s="8"/>
      <c r="AG101" s="41"/>
      <c r="AH101" s="7"/>
    </row>
    <row r="102" spans="1:11" ht="18" customHeight="1">
      <c r="A102" s="42" t="s">
        <v>1297</v>
      </c>
      <c r="B102" s="36"/>
      <c r="C102" s="36"/>
      <c r="D102" s="36"/>
      <c r="E102" s="36"/>
      <c r="F102" s="47"/>
      <c r="K102" s="3" t="s">
        <v>1297</v>
      </c>
    </row>
    <row r="103" spans="1:34" ht="18" customHeight="1">
      <c r="A103" s="44" t="str">
        <f>CONCATENATE("   재 료 비 :  _x001D_11,450.88_x001D_ / ",TEXT($AB103,"#,##0.00")," =",TEXT($AF103,"#,##0.00"))</f>
        <v>   재 료 비 :  _x001D_11,450.88_x001D_ / 0.00 =0.00</v>
      </c>
      <c r="B103" s="36">
        <f>SUM($C103,$D103,$E103)</f>
        <v>0</v>
      </c>
      <c r="C103" s="36">
        <f>$AF103</f>
        <v>0</v>
      </c>
      <c r="D103" s="36"/>
      <c r="E103" s="36"/>
      <c r="F103" s="47" t="s">
        <v>1297</v>
      </c>
      <c r="K103" s="3" t="s">
        <v>1062</v>
      </c>
      <c r="AA103" s="40"/>
      <c r="AB103" s="8"/>
      <c r="AC103" s="40"/>
      <c r="AD103" s="7"/>
      <c r="AE103" s="41"/>
      <c r="AF103" s="8"/>
      <c r="AG103" s="41"/>
      <c r="AH103" s="7"/>
    </row>
    <row r="104" spans="1:11" ht="18" customHeight="1">
      <c r="A104" s="42" t="s">
        <v>1297</v>
      </c>
      <c r="B104" s="36"/>
      <c r="C104" s="36"/>
      <c r="D104" s="36"/>
      <c r="E104" s="36"/>
      <c r="F104" s="47"/>
      <c r="K104" s="3" t="s">
        <v>1297</v>
      </c>
    </row>
    <row r="105" spans="1:34" ht="18" customHeight="1">
      <c r="A105" s="44" t="str">
        <f>CONCATENATE("   경    비 :  _x001D_1,803_x001D_ / ",TEXT($AB105,"#,##0.00")," =",TEXT($AF105,"#,##0.00"))</f>
        <v>   경    비 :  _x001D_1,803_x001D_ / 0.00 =0.00</v>
      </c>
      <c r="B105" s="36">
        <f>SUM($C105,$D105,$E105)</f>
        <v>0</v>
      </c>
      <c r="C105" s="36"/>
      <c r="D105" s="36"/>
      <c r="E105" s="36">
        <f>$AF105</f>
        <v>0</v>
      </c>
      <c r="F105" s="47" t="s">
        <v>1297</v>
      </c>
      <c r="K105" s="3" t="s">
        <v>526</v>
      </c>
      <c r="AA105" s="40"/>
      <c r="AB105" s="8"/>
      <c r="AC105" s="40"/>
      <c r="AD105" s="7"/>
      <c r="AE105" s="41"/>
      <c r="AF105" s="8"/>
      <c r="AG105" s="41"/>
      <c r="AH105" s="7"/>
    </row>
    <row r="106" spans="1:11" ht="18" customHeight="1">
      <c r="A106" s="42" t="s">
        <v>1297</v>
      </c>
      <c r="B106" s="36"/>
      <c r="C106" s="36"/>
      <c r="D106" s="36"/>
      <c r="E106" s="36"/>
      <c r="F106" s="47"/>
      <c r="K106" s="3" t="s">
        <v>1297</v>
      </c>
    </row>
    <row r="107" spans="1:11" ht="18" customHeight="1">
      <c r="A107" s="42" t="s">
        <v>1297</v>
      </c>
      <c r="B107" s="36"/>
      <c r="C107" s="36"/>
      <c r="D107" s="36"/>
      <c r="E107" s="36"/>
      <c r="F107" s="47"/>
      <c r="K107" s="3" t="s">
        <v>1297</v>
      </c>
    </row>
    <row r="108" spans="1:11" ht="18" customHeight="1">
      <c r="A108" s="42" t="s">
        <v>539</v>
      </c>
      <c r="B108" s="36"/>
      <c r="C108" s="36"/>
      <c r="D108" s="36"/>
      <c r="E108" s="36"/>
      <c r="F108" s="47"/>
      <c r="K108" s="3" t="s">
        <v>539</v>
      </c>
    </row>
    <row r="109" spans="1:11" ht="18" customHeight="1">
      <c r="A109" s="42" t="s">
        <v>1297</v>
      </c>
      <c r="B109" s="36"/>
      <c r="C109" s="36"/>
      <c r="D109" s="36"/>
      <c r="E109" s="36"/>
      <c r="F109" s="47"/>
      <c r="K109" s="3" t="s">
        <v>1297</v>
      </c>
    </row>
    <row r="110" spans="1:34" ht="18" customHeight="1">
      <c r="A110" s="44" t="str">
        <f>CONCATENATE("   재 료 비 :  _x001D_2,658.24_x001D_ / ",TEXT($AB110,"#,##0.00")," * 0.5 =",TEXT($AF110,"#,##0.00"))</f>
        <v>   재 료 비 :  _x001D_2,658.24_x001D_ / 0.00 * 0.5 =0.00</v>
      </c>
      <c r="B110" s="36">
        <f>SUM($C110,$D110,$E110)</f>
        <v>0</v>
      </c>
      <c r="C110" s="36">
        <f>$AF110</f>
        <v>0</v>
      </c>
      <c r="D110" s="36"/>
      <c r="E110" s="36"/>
      <c r="F110" s="47" t="s">
        <v>1297</v>
      </c>
      <c r="K110" s="3" t="s">
        <v>67</v>
      </c>
      <c r="AA110" s="40"/>
      <c r="AB110" s="8"/>
      <c r="AC110" s="40"/>
      <c r="AD110" s="7"/>
      <c r="AE110" s="41"/>
      <c r="AF110" s="8"/>
      <c r="AG110" s="41"/>
      <c r="AH110" s="7"/>
    </row>
    <row r="111" spans="1:11" ht="18" customHeight="1">
      <c r="A111" s="42" t="s">
        <v>1297</v>
      </c>
      <c r="B111" s="36"/>
      <c r="C111" s="36"/>
      <c r="D111" s="36"/>
      <c r="E111" s="36"/>
      <c r="F111" s="47"/>
      <c r="K111" s="3" t="s">
        <v>1297</v>
      </c>
    </row>
    <row r="112" spans="1:34" ht="18" customHeight="1">
      <c r="A112" s="44" t="str">
        <f>CONCATENATE("   노 무 비 :  _x001D_0_x001D_ / ",TEXT($AB112,"#,##0.00")," * 0.5 =",TEXT($AF112,"#,##0.00"))</f>
        <v>   노 무 비 :  _x001D_0_x001D_ / 0.00 * 0.5 =0.00</v>
      </c>
      <c r="B112" s="36">
        <f>SUM($C112,$D112,$E112)</f>
        <v>0</v>
      </c>
      <c r="C112" s="36"/>
      <c r="D112" s="36">
        <f>$AF112</f>
        <v>0</v>
      </c>
      <c r="E112" s="36"/>
      <c r="F112" s="47" t="s">
        <v>1297</v>
      </c>
      <c r="K112" s="3" t="s">
        <v>647</v>
      </c>
      <c r="AA112" s="40"/>
      <c r="AB112" s="8"/>
      <c r="AC112" s="40"/>
      <c r="AD112" s="7"/>
      <c r="AE112" s="41"/>
      <c r="AF112" s="8"/>
      <c r="AG112" s="41"/>
      <c r="AH112" s="7"/>
    </row>
    <row r="113" spans="1:11" ht="18" customHeight="1">
      <c r="A113" s="42" t="s">
        <v>1297</v>
      </c>
      <c r="B113" s="36"/>
      <c r="C113" s="36"/>
      <c r="D113" s="36"/>
      <c r="E113" s="36"/>
      <c r="F113" s="47"/>
      <c r="K113" s="3" t="s">
        <v>1297</v>
      </c>
    </row>
    <row r="114" spans="1:34" ht="18" customHeight="1">
      <c r="A114" s="44" t="str">
        <f>CONCATENATE("   경    비 :  _x001D_233_x001D_ / ",TEXT($AB114,"#,##0.00")," * 0.5 =",TEXT($AF114,"#,##0.00"))</f>
        <v>   경    비 :  _x001D_233_x001D_ / 0.00 * 0.5 =0.00</v>
      </c>
      <c r="B114" s="36">
        <f>SUM($C114,$D114,$E114)</f>
        <v>0</v>
      </c>
      <c r="C114" s="36"/>
      <c r="D114" s="36"/>
      <c r="E114" s="36">
        <f>$AF114</f>
        <v>0</v>
      </c>
      <c r="F114" s="47" t="s">
        <v>1297</v>
      </c>
      <c r="K114" s="3" t="s">
        <v>381</v>
      </c>
      <c r="AA114" s="40"/>
      <c r="AB114" s="8"/>
      <c r="AC114" s="40"/>
      <c r="AD114" s="7"/>
      <c r="AE114" s="41"/>
      <c r="AF114" s="8"/>
      <c r="AG114" s="41"/>
      <c r="AH114" s="7"/>
    </row>
    <row r="115" spans="1:11" ht="18" customHeight="1">
      <c r="A115" s="42" t="s">
        <v>1297</v>
      </c>
      <c r="B115" s="36"/>
      <c r="C115" s="36"/>
      <c r="D115" s="36"/>
      <c r="E115" s="36"/>
      <c r="F115" s="47"/>
      <c r="K115" s="3" t="s">
        <v>1297</v>
      </c>
    </row>
    <row r="116" spans="1:32" ht="18" customHeight="1">
      <c r="A116" s="42" t="s">
        <v>183</v>
      </c>
      <c r="B116" s="37">
        <f>SUM($C116,$D116,$E116)</f>
        <v>0</v>
      </c>
      <c r="C116" s="37">
        <f>$AB116</f>
        <v>0</v>
      </c>
      <c r="D116" s="37">
        <f>$AD116</f>
        <v>0</v>
      </c>
      <c r="E116" s="37">
        <f>$AF116</f>
        <v>0</v>
      </c>
      <c r="F116" s="48"/>
      <c r="K116" s="3" t="s">
        <v>801</v>
      </c>
      <c r="AA116" s="40"/>
      <c r="AB116" s="7"/>
      <c r="AC116" s="40"/>
      <c r="AD116" s="7"/>
      <c r="AE116" s="40"/>
      <c r="AF116" s="7"/>
    </row>
    <row r="117" spans="1:11" ht="18" customHeight="1">
      <c r="A117" s="42" t="s">
        <v>1297</v>
      </c>
      <c r="B117" s="36"/>
      <c r="C117" s="36"/>
      <c r="D117" s="36"/>
      <c r="E117" s="36"/>
      <c r="F117" s="47"/>
      <c r="K117" s="3" t="s">
        <v>1297</v>
      </c>
    </row>
    <row r="118" spans="1:32" ht="18" customHeight="1">
      <c r="A118" s="42" t="s">
        <v>1247</v>
      </c>
      <c r="B118" s="38">
        <f>SUM($C118,$D118,$E118)</f>
        <v>0</v>
      </c>
      <c r="C118" s="38">
        <f>$AB118</f>
        <v>0</v>
      </c>
      <c r="D118" s="38">
        <f>$AD118</f>
        <v>0</v>
      </c>
      <c r="E118" s="38">
        <f>$AF118</f>
        <v>0</v>
      </c>
      <c r="F118" s="49"/>
      <c r="K118" s="3" t="s">
        <v>359</v>
      </c>
      <c r="AA118" s="40"/>
      <c r="AB118" s="7"/>
      <c r="AC118" s="40"/>
      <c r="AD118" s="7"/>
      <c r="AE118" s="40"/>
      <c r="AF118" s="7"/>
    </row>
    <row r="119" spans="1:6" ht="18" customHeight="1">
      <c r="A119" s="42"/>
      <c r="B119" s="3"/>
      <c r="C119" s="3"/>
      <c r="D119" s="3"/>
      <c r="E119" s="3"/>
      <c r="F119" s="46"/>
    </row>
    <row r="120" spans="1:6" ht="18" customHeight="1">
      <c r="A120" s="45" t="s">
        <v>726</v>
      </c>
      <c r="B120" s="39">
        <f>SUM($C120,$D120,$E120)</f>
        <v>0</v>
      </c>
      <c r="C120" s="39">
        <f>TRUNC(SUM($AH110),0)</f>
        <v>0</v>
      </c>
      <c r="D120" s="39">
        <f>TRUNC(SUM($AH112),0)</f>
        <v>0</v>
      </c>
      <c r="E120" s="39">
        <f>TRUNC(SUM($AH114),0)</f>
        <v>0</v>
      </c>
      <c r="F120" s="50"/>
    </row>
    <row r="121" spans="1:6" ht="18" customHeight="1">
      <c r="A121" s="42"/>
      <c r="B121" s="3"/>
      <c r="C121" s="3"/>
      <c r="D121" s="3"/>
      <c r="E121" s="3"/>
      <c r="F121" s="46"/>
    </row>
    <row r="122" spans="1:26" ht="18" customHeight="1">
      <c r="A122" s="42" t="s">
        <v>447</v>
      </c>
      <c r="B122" s="36">
        <f>$B155</f>
        <v>0</v>
      </c>
      <c r="C122" s="36">
        <f>$C155</f>
        <v>0</v>
      </c>
      <c r="D122" s="36">
        <f>$D155</f>
        <v>0</v>
      </c>
      <c r="E122" s="36">
        <f>$E155</f>
        <v>0</v>
      </c>
      <c r="F122" s="46" t="s">
        <v>1297</v>
      </c>
      <c r="H122" t="s">
        <v>727</v>
      </c>
      <c r="K122">
        <v>1</v>
      </c>
      <c r="Y122" s="7" t="b">
        <f>EXACT($Z122,$B155)</f>
        <v>0</v>
      </c>
      <c r="Z122" s="39"/>
    </row>
    <row r="123" spans="1:6" ht="18" customHeight="1">
      <c r="A123" s="43"/>
      <c r="B123" s="3"/>
      <c r="C123" s="3"/>
      <c r="D123" s="3"/>
      <c r="E123" s="3"/>
      <c r="F123" s="46"/>
    </row>
    <row r="124" spans="1:11" ht="18" customHeight="1">
      <c r="A124" s="42" t="s">
        <v>1297</v>
      </c>
      <c r="B124" s="3"/>
      <c r="C124" s="3"/>
      <c r="D124" s="3"/>
      <c r="E124" s="3"/>
      <c r="F124" s="46"/>
      <c r="I124" t="s">
        <v>166</v>
      </c>
      <c r="K124" t="s">
        <v>1085</v>
      </c>
    </row>
    <row r="125" spans="1:11" ht="18" customHeight="1">
      <c r="A125" s="42" t="s">
        <v>839</v>
      </c>
      <c r="B125" s="36"/>
      <c r="C125" s="36"/>
      <c r="D125" s="36"/>
      <c r="E125" s="36"/>
      <c r="F125" s="47"/>
      <c r="K125" s="3" t="s">
        <v>839</v>
      </c>
    </row>
    <row r="126" spans="1:11" ht="18" customHeight="1">
      <c r="A126" s="42" t="s">
        <v>1297</v>
      </c>
      <c r="B126" s="36"/>
      <c r="C126" s="36"/>
      <c r="D126" s="36"/>
      <c r="E126" s="36"/>
      <c r="F126" s="47"/>
      <c r="K126" s="3" t="s">
        <v>1297</v>
      </c>
    </row>
    <row r="127" spans="1:11" ht="18" customHeight="1">
      <c r="A127" s="42" t="s">
        <v>994</v>
      </c>
      <c r="B127" s="36"/>
      <c r="C127" s="36"/>
      <c r="D127" s="36"/>
      <c r="E127" s="36"/>
      <c r="F127" s="47"/>
      <c r="K127" s="3" t="s">
        <v>994</v>
      </c>
    </row>
    <row r="128" spans="1:30" ht="18" customHeight="1">
      <c r="A128" s="42" t="s">
        <v>1297</v>
      </c>
      <c r="B128" s="36"/>
      <c r="C128" s="36"/>
      <c r="D128" s="36"/>
      <c r="E128" s="36"/>
      <c r="F128" s="47"/>
      <c r="K128" s="3" t="s">
        <v>2</v>
      </c>
      <c r="AA128" s="40"/>
      <c r="AB128" s="6"/>
      <c r="AC128" s="40"/>
      <c r="AD128" s="7"/>
    </row>
    <row r="129" spans="1:11" ht="18" customHeight="1">
      <c r="A129" s="42" t="s">
        <v>1297</v>
      </c>
      <c r="B129" s="36"/>
      <c r="C129" s="36"/>
      <c r="D129" s="36"/>
      <c r="E129" s="36"/>
      <c r="F129" s="47"/>
      <c r="K129" s="3" t="s">
        <v>1297</v>
      </c>
    </row>
    <row r="130" spans="1:38" ht="18" customHeight="1">
      <c r="A130" s="44" t="str">
        <f>CONCATENATE("   q=",TEXT($AB130,"#,##0.0"),",  f= 1/1.25= ",TEXT($AJ130,"#,##0.00"))</f>
        <v>   q=0.0,  f= 1/1.25= 0.00</v>
      </c>
      <c r="B130" s="36">
        <f>SUM($C130,$D130,$E130)</f>
        <v>0</v>
      </c>
      <c r="C130" s="36"/>
      <c r="D130" s="36"/>
      <c r="E130" s="36"/>
      <c r="F130" s="47"/>
      <c r="K130" s="10" t="str">
        <f>SUBSTITUTE(SUBSTITUTE("   q= 0.2,  f= 1/1.25= ?","0.2",TEXT($AB130,"#,##0.0"),1),"_x001D_","'")</f>
        <v>   q= 0.0,  f= 1/1.25= ?</v>
      </c>
      <c r="AA130" s="40"/>
      <c r="AB130" s="6"/>
      <c r="AC130" s="40"/>
      <c r="AD130" s="7"/>
      <c r="AE130" s="40"/>
      <c r="AF130" s="8"/>
      <c r="AG130" s="40"/>
      <c r="AH130" s="7"/>
      <c r="AI130" s="40"/>
      <c r="AJ130" s="8"/>
      <c r="AK130" s="40"/>
      <c r="AL130" s="7"/>
    </row>
    <row r="131" spans="1:11" ht="18" customHeight="1">
      <c r="A131" s="42" t="s">
        <v>1297</v>
      </c>
      <c r="B131" s="36"/>
      <c r="C131" s="36"/>
      <c r="D131" s="36"/>
      <c r="E131" s="36"/>
      <c r="F131" s="47"/>
      <c r="K131" s="3" t="s">
        <v>1297</v>
      </c>
    </row>
    <row r="132" spans="1:30" ht="18" customHeight="1">
      <c r="A132" s="44" t="str">
        <f>CONCATENATE("   E=",TEXT($AB132,"#,##0.00")," (주택가 작업장소 협소)")</f>
        <v>   E=0.00 (주택가 작업장소 협소)</v>
      </c>
      <c r="B132" s="36"/>
      <c r="C132" s="36"/>
      <c r="D132" s="36"/>
      <c r="E132" s="36"/>
      <c r="F132" s="47"/>
      <c r="K132" s="10" t="str">
        <f>SUBSTITUTE(SUBSTITUTE("   E= 0.30_x001D_(주택가 작업장소 협소)_x001D_","0.30",TEXT($AB132,"#,##0.00"),1),"_x001D_","'")</f>
        <v>   E= 0.00'(주택가 작업장소 협소)'</v>
      </c>
      <c r="AA132" s="40"/>
      <c r="AB132" s="6"/>
      <c r="AC132" s="40"/>
      <c r="AD132" s="7"/>
    </row>
    <row r="133" spans="1:11" ht="18" customHeight="1">
      <c r="A133" s="42" t="s">
        <v>1297</v>
      </c>
      <c r="B133" s="36"/>
      <c r="C133" s="36"/>
      <c r="D133" s="36"/>
      <c r="E133" s="36"/>
      <c r="F133" s="47"/>
      <c r="K133" s="3" t="s">
        <v>1297</v>
      </c>
    </row>
    <row r="134" spans="1:34" ht="18" customHeight="1">
      <c r="A134" s="44" t="str">
        <f>CONCATENATE("   K=",TEXT($AB134,"#,##0.0")," , Cm=",TEXT($AF134,"#,##0.00")," sec (90˚)")</f>
        <v>   K=0.0 , Cm=0.00 sec (90˚)</v>
      </c>
      <c r="B134" s="36"/>
      <c r="C134" s="36"/>
      <c r="D134" s="36"/>
      <c r="E134" s="36"/>
      <c r="F134" s="47"/>
      <c r="K134" s="10" t="str">
        <f>SUBSTITUTE(SUBSTITUTE(SUBSTITUTE("   K= 0.9 , Cm= 15_x001D_sec (90˚)_x001D_","0.9",TEXT($AB134,"#,##0.0"),1),"15",TEXT($AF134,"#,##0"),1),"_x001D_","'")</f>
        <v>   K= 0.0 , Cm= 0'sec (90˚)'</v>
      </c>
      <c r="AA134" s="40"/>
      <c r="AB134" s="6"/>
      <c r="AC134" s="40"/>
      <c r="AD134" s="7"/>
      <c r="AE134" s="40"/>
      <c r="AF134" s="6"/>
      <c r="AG134" s="40"/>
      <c r="AH134" s="7"/>
    </row>
    <row r="135" spans="1:11" ht="18" customHeight="1">
      <c r="A135" s="42" t="s">
        <v>1297</v>
      </c>
      <c r="B135" s="36"/>
      <c r="C135" s="36"/>
      <c r="D135" s="36"/>
      <c r="E135" s="36"/>
      <c r="F135" s="47"/>
      <c r="K135" s="3" t="s">
        <v>1297</v>
      </c>
    </row>
    <row r="136" spans="1:34" ht="18" customHeight="1">
      <c r="A136" s="44" t="str">
        <f>CONCATENATE("   Q = 3600*q*K*f*E/Cm =",TEXT($AF136,"#,##0.00")," ㎥/hr ")</f>
        <v>   Q = 3600*q*K*f*E/Cm =0.00 ㎥/hr </v>
      </c>
      <c r="B136" s="36">
        <f>SUM($C136,$D136,$E136)</f>
        <v>0</v>
      </c>
      <c r="C136" s="36"/>
      <c r="D136" s="36"/>
      <c r="E136" s="36"/>
      <c r="F136" s="47"/>
      <c r="K136" s="3" t="s">
        <v>1183</v>
      </c>
      <c r="AA136" s="40"/>
      <c r="AB136" s="8"/>
      <c r="AC136" s="40"/>
      <c r="AD136" s="7"/>
      <c r="AE136" s="40"/>
      <c r="AF136" s="8"/>
      <c r="AG136" s="40"/>
      <c r="AH136" s="7"/>
    </row>
    <row r="137" spans="1:11" ht="18" customHeight="1">
      <c r="A137" s="42" t="s">
        <v>1297</v>
      </c>
      <c r="B137" s="36"/>
      <c r="C137" s="36"/>
      <c r="D137" s="36"/>
      <c r="E137" s="36"/>
      <c r="F137" s="47"/>
      <c r="K137" s="3" t="s">
        <v>1297</v>
      </c>
    </row>
    <row r="138" spans="1:34" ht="18" customHeight="1">
      <c r="A138" s="44" t="str">
        <f>CONCATENATE(" .노무비: _x001D_47,849_x001D_ / Q * ",TEXT($AB138,"#,##0.00")," = ",TEXT($AF138,"#,##0.00"))</f>
        <v> .노무비: _x001D_47,849_x001D_ / Q * 0.00 = 0.00</v>
      </c>
      <c r="B138" s="36">
        <f>SUM($C138,$D138,$E138)</f>
        <v>0</v>
      </c>
      <c r="C138" s="36"/>
      <c r="D138" s="36">
        <f>$AF138</f>
        <v>0</v>
      </c>
      <c r="E138" s="36"/>
      <c r="F138" s="47" t="s">
        <v>1297</v>
      </c>
      <c r="K138" s="3" t="s">
        <v>289</v>
      </c>
      <c r="AA138" s="40"/>
      <c r="AB138" s="8"/>
      <c r="AC138" s="40"/>
      <c r="AD138" s="7"/>
      <c r="AE138" s="41"/>
      <c r="AF138" s="8"/>
      <c r="AG138" s="41"/>
      <c r="AH138" s="7"/>
    </row>
    <row r="139" spans="1:11" ht="18" customHeight="1">
      <c r="A139" s="42" t="s">
        <v>1297</v>
      </c>
      <c r="B139" s="36"/>
      <c r="C139" s="36"/>
      <c r="D139" s="36"/>
      <c r="E139" s="36"/>
      <c r="F139" s="47"/>
      <c r="K139" s="3" t="s">
        <v>1297</v>
      </c>
    </row>
    <row r="140" spans="1:34" ht="18" customHeight="1">
      <c r="A140" s="44" t="str">
        <f>CONCATENATE(" .재료비: _x001D_10,103.5_x001D_ / Q * ",TEXT($AB140,"#,##0.00")," = ",TEXT($AF140,"#,##0.00"))</f>
        <v> .재료비: _x001D_10,103.5_x001D_ / Q * 0.00 = 0.00</v>
      </c>
      <c r="B140" s="36">
        <f>SUM($C140,$D140,$E140)</f>
        <v>0</v>
      </c>
      <c r="C140" s="36">
        <f>$AF140</f>
        <v>0</v>
      </c>
      <c r="D140" s="36"/>
      <c r="E140" s="36"/>
      <c r="F140" s="47" t="s">
        <v>1297</v>
      </c>
      <c r="K140" s="3" t="s">
        <v>268</v>
      </c>
      <c r="AA140" s="40"/>
      <c r="AB140" s="8"/>
      <c r="AC140" s="40"/>
      <c r="AD140" s="7"/>
      <c r="AE140" s="41"/>
      <c r="AF140" s="8"/>
      <c r="AG140" s="41"/>
      <c r="AH140" s="7"/>
    </row>
    <row r="141" spans="1:11" ht="18" customHeight="1">
      <c r="A141" s="42" t="s">
        <v>1297</v>
      </c>
      <c r="B141" s="36"/>
      <c r="C141" s="36"/>
      <c r="D141" s="36"/>
      <c r="E141" s="36"/>
      <c r="F141" s="47"/>
      <c r="K141" s="3" t="s">
        <v>1297</v>
      </c>
    </row>
    <row r="142" spans="1:34" ht="18" customHeight="1">
      <c r="A142" s="44" t="str">
        <f>CONCATENATE(" .경  비: _x001D_12,688_x001D_ / Q * ",TEXT($AB142,"#,##0.00")," = ",TEXT($AF142,"#,##0.00"))</f>
        <v> .경  비: _x001D_12,688_x001D_ / Q * 0.00 = 0.00</v>
      </c>
      <c r="B142" s="36">
        <f>SUM($C142,$D142,$E142)</f>
        <v>0</v>
      </c>
      <c r="C142" s="36"/>
      <c r="D142" s="36"/>
      <c r="E142" s="36">
        <f>$AF142</f>
        <v>0</v>
      </c>
      <c r="F142" s="47" t="s">
        <v>1297</v>
      </c>
      <c r="K142" s="3" t="s">
        <v>1147</v>
      </c>
      <c r="AA142" s="40"/>
      <c r="AB142" s="8"/>
      <c r="AC142" s="40"/>
      <c r="AD142" s="7"/>
      <c r="AE142" s="41"/>
      <c r="AF142" s="8"/>
      <c r="AG142" s="41"/>
      <c r="AH142" s="7"/>
    </row>
    <row r="143" spans="1:11" ht="18" customHeight="1">
      <c r="A143" s="42" t="s">
        <v>1297</v>
      </c>
      <c r="B143" s="36"/>
      <c r="C143" s="36"/>
      <c r="D143" s="36"/>
      <c r="E143" s="36"/>
      <c r="F143" s="47"/>
      <c r="K143" s="3" t="s">
        <v>1297</v>
      </c>
    </row>
    <row r="144" spans="1:32" ht="18" customHeight="1">
      <c r="A144" s="42" t="s">
        <v>914</v>
      </c>
      <c r="B144" s="37">
        <f>SUM($C144,$D144,$E144)</f>
        <v>0</v>
      </c>
      <c r="C144" s="37">
        <f>$AB144</f>
        <v>0</v>
      </c>
      <c r="D144" s="37">
        <f>$AD144</f>
        <v>0</v>
      </c>
      <c r="E144" s="37">
        <f>$AF144</f>
        <v>0</v>
      </c>
      <c r="F144" s="48"/>
      <c r="K144" s="3" t="s">
        <v>925</v>
      </c>
      <c r="AA144" s="40"/>
      <c r="AB144" s="7"/>
      <c r="AC144" s="40"/>
      <c r="AD144" s="7"/>
      <c r="AE144" s="40"/>
      <c r="AF144" s="7"/>
    </row>
    <row r="145" spans="1:11" ht="18" customHeight="1">
      <c r="A145" s="42" t="s">
        <v>1297</v>
      </c>
      <c r="B145" s="36"/>
      <c r="C145" s="36"/>
      <c r="D145" s="36"/>
      <c r="E145" s="36"/>
      <c r="F145" s="47"/>
      <c r="K145" s="3" t="s">
        <v>1297</v>
      </c>
    </row>
    <row r="146" spans="1:11" ht="18" customHeight="1">
      <c r="A146" s="42" t="s">
        <v>1102</v>
      </c>
      <c r="B146" s="36"/>
      <c r="C146" s="36"/>
      <c r="D146" s="36"/>
      <c r="E146" s="36"/>
      <c r="F146" s="47"/>
      <c r="K146" s="3" t="s">
        <v>1102</v>
      </c>
    </row>
    <row r="147" spans="1:11" ht="18" customHeight="1">
      <c r="A147" s="42" t="s">
        <v>797</v>
      </c>
      <c r="B147" s="36"/>
      <c r="C147" s="36"/>
      <c r="D147" s="36"/>
      <c r="E147" s="36"/>
      <c r="F147" s="47"/>
      <c r="K147" s="3" t="s">
        <v>342</v>
      </c>
    </row>
    <row r="148" spans="1:34" ht="18" customHeight="1">
      <c r="A148" s="42" t="s">
        <v>1297</v>
      </c>
      <c r="B148" s="36"/>
      <c r="C148" s="36"/>
      <c r="D148" s="36"/>
      <c r="E148" s="36"/>
      <c r="F148" s="47"/>
      <c r="K148" s="10" t="str">
        <f>SUBSTITUTE(SUBSTITUTE(".B=0.5, C=0.2","0.2",TEXT($AF148,"#,##0.0"),1),"_x001D_","'")</f>
        <v>.B=0.5, C=0.0</v>
      </c>
      <c r="AA148" s="40"/>
      <c r="AB148" s="6"/>
      <c r="AC148" s="40"/>
      <c r="AD148" s="7"/>
      <c r="AE148" s="40"/>
      <c r="AF148" s="6"/>
      <c r="AG148" s="40"/>
      <c r="AH148" s="7"/>
    </row>
    <row r="149" spans="1:38" ht="18" customHeight="1">
      <c r="A149" s="44" t="str">
        <f>CONCATENATE(" .보통인부: _x001D_148,510_x001D_ * ",TEXT($AB149,"#,##0.00")," *  ",TEXT($AF149,"#,##0.00")," 인  = ",TEXT($AJ149,"#,##0.00"))</f>
        <v> .보통인부: _x001D_148,510_x001D_ * 0.00 *  0.00 인  = 0.00</v>
      </c>
      <c r="B149" s="36">
        <f>SUM($C149,$D149,$E149)</f>
        <v>0</v>
      </c>
      <c r="C149" s="36"/>
      <c r="D149" s="36">
        <f>$AJ149</f>
        <v>0</v>
      </c>
      <c r="E149" s="36"/>
      <c r="F149" s="47" t="s">
        <v>1297</v>
      </c>
      <c r="K149" s="3" t="s">
        <v>966</v>
      </c>
      <c r="AA149" s="40"/>
      <c r="AB149" s="8"/>
      <c r="AC149" s="40"/>
      <c r="AD149" s="7"/>
      <c r="AE149" s="40"/>
      <c r="AF149" s="8"/>
      <c r="AG149" s="40"/>
      <c r="AH149" s="7"/>
      <c r="AI149" s="41"/>
      <c r="AJ149" s="8"/>
      <c r="AK149" s="41"/>
      <c r="AL149" s="7"/>
    </row>
    <row r="150" spans="1:11" ht="18" customHeight="1">
      <c r="A150" s="42" t="s">
        <v>1297</v>
      </c>
      <c r="B150" s="36"/>
      <c r="C150" s="36"/>
      <c r="D150" s="36"/>
      <c r="E150" s="36"/>
      <c r="F150" s="47"/>
      <c r="K150" s="3" t="s">
        <v>1297</v>
      </c>
    </row>
    <row r="151" spans="1:32" ht="18" customHeight="1">
      <c r="A151" s="42" t="s">
        <v>914</v>
      </c>
      <c r="B151" s="37">
        <f>SUM($C151,$D151,$E151)</f>
        <v>0</v>
      </c>
      <c r="C151" s="37">
        <f>$AB151</f>
        <v>0</v>
      </c>
      <c r="D151" s="37">
        <f>$AD151</f>
        <v>0</v>
      </c>
      <c r="E151" s="37">
        <f>$AF151</f>
        <v>0</v>
      </c>
      <c r="F151" s="48"/>
      <c r="K151" s="3" t="s">
        <v>925</v>
      </c>
      <c r="AA151" s="40"/>
      <c r="AB151" s="7"/>
      <c r="AC151" s="40"/>
      <c r="AD151" s="7"/>
      <c r="AE151" s="40"/>
      <c r="AF151" s="7"/>
    </row>
    <row r="152" spans="1:11" ht="18" customHeight="1">
      <c r="A152" s="42" t="s">
        <v>1297</v>
      </c>
      <c r="B152" s="36"/>
      <c r="C152" s="36"/>
      <c r="D152" s="36"/>
      <c r="E152" s="36"/>
      <c r="F152" s="47"/>
      <c r="K152" s="3" t="s">
        <v>1297</v>
      </c>
    </row>
    <row r="153" spans="1:32" ht="18" customHeight="1">
      <c r="A153" s="42" t="s">
        <v>22</v>
      </c>
      <c r="B153" s="38">
        <f>SUM($C153,$D153,$E153)</f>
        <v>0</v>
      </c>
      <c r="C153" s="38">
        <f>$AB153</f>
        <v>0</v>
      </c>
      <c r="D153" s="38">
        <f>$AD153</f>
        <v>0</v>
      </c>
      <c r="E153" s="38">
        <f>$AF153</f>
        <v>0</v>
      </c>
      <c r="F153" s="49"/>
      <c r="K153" s="3" t="s">
        <v>220</v>
      </c>
      <c r="AA153" s="40"/>
      <c r="AB153" s="7"/>
      <c r="AC153" s="40"/>
      <c r="AD153" s="7"/>
      <c r="AE153" s="40"/>
      <c r="AF153" s="7"/>
    </row>
    <row r="154" spans="1:6" ht="18" customHeight="1">
      <c r="A154" s="42"/>
      <c r="B154" s="3"/>
      <c r="C154" s="3"/>
      <c r="D154" s="3"/>
      <c r="E154" s="3"/>
      <c r="F154" s="46"/>
    </row>
    <row r="155" spans="1:6" ht="18" customHeight="1">
      <c r="A155" s="45" t="s">
        <v>726</v>
      </c>
      <c r="B155" s="39">
        <f>SUM($C155,$D155,$E155)</f>
        <v>0</v>
      </c>
      <c r="C155" s="39">
        <f>TRUNC(SUM($AH140),0)</f>
        <v>0</v>
      </c>
      <c r="D155" s="39">
        <f>TRUNC(SUM($AL149),0)</f>
        <v>0</v>
      </c>
      <c r="E155" s="39">
        <f>TRUNC(SUM($AH142),0)</f>
        <v>0</v>
      </c>
      <c r="F155" s="50"/>
    </row>
    <row r="156" spans="1:6" ht="18" customHeight="1">
      <c r="A156" s="42"/>
      <c r="B156" s="3"/>
      <c r="C156" s="3"/>
      <c r="D156" s="3"/>
      <c r="E156" s="3"/>
      <c r="F156" s="46"/>
    </row>
    <row r="157" spans="1:26" ht="18" customHeight="1">
      <c r="A157" s="42" t="s">
        <v>775</v>
      </c>
      <c r="B157" s="36">
        <f>$B213</f>
        <v>0</v>
      </c>
      <c r="C157" s="36">
        <f>$C213</f>
        <v>0</v>
      </c>
      <c r="D157" s="36">
        <f>$D213</f>
        <v>0</v>
      </c>
      <c r="E157" s="36">
        <f>$E213</f>
        <v>0</v>
      </c>
      <c r="F157" s="46" t="s">
        <v>1297</v>
      </c>
      <c r="H157" t="s">
        <v>941</v>
      </c>
      <c r="K157">
        <v>1</v>
      </c>
      <c r="Y157" s="7" t="b">
        <f>EXACT($Z157,$B213)</f>
        <v>0</v>
      </c>
      <c r="Z157" s="39"/>
    </row>
    <row r="158" spans="1:6" ht="18" customHeight="1">
      <c r="A158" s="43"/>
      <c r="B158" s="3"/>
      <c r="C158" s="3"/>
      <c r="D158" s="3"/>
      <c r="E158" s="3"/>
      <c r="F158" s="46"/>
    </row>
    <row r="159" spans="1:11" ht="18" customHeight="1">
      <c r="A159" s="42" t="s">
        <v>1297</v>
      </c>
      <c r="B159" s="3"/>
      <c r="C159" s="3"/>
      <c r="D159" s="3"/>
      <c r="E159" s="3"/>
      <c r="F159" s="46"/>
      <c r="I159" t="s">
        <v>166</v>
      </c>
      <c r="K159" t="s">
        <v>1085</v>
      </c>
    </row>
    <row r="160" spans="1:11" ht="18" customHeight="1">
      <c r="A160" s="42" t="s">
        <v>839</v>
      </c>
      <c r="B160" s="36"/>
      <c r="C160" s="36"/>
      <c r="D160" s="36"/>
      <c r="E160" s="36"/>
      <c r="F160" s="47"/>
      <c r="K160" s="3" t="s">
        <v>839</v>
      </c>
    </row>
    <row r="161" spans="1:11" ht="18" customHeight="1">
      <c r="A161" s="42" t="s">
        <v>1297</v>
      </c>
      <c r="B161" s="36"/>
      <c r="C161" s="36"/>
      <c r="D161" s="36"/>
      <c r="E161" s="36"/>
      <c r="F161" s="47"/>
      <c r="K161" s="3" t="s">
        <v>1297</v>
      </c>
    </row>
    <row r="162" spans="1:11" ht="18" customHeight="1">
      <c r="A162" s="42" t="s">
        <v>747</v>
      </c>
      <c r="B162" s="36"/>
      <c r="C162" s="36"/>
      <c r="D162" s="36"/>
      <c r="E162" s="36"/>
      <c r="F162" s="47"/>
      <c r="K162" s="3" t="s">
        <v>747</v>
      </c>
    </row>
    <row r="163" spans="1:11" ht="18" customHeight="1">
      <c r="A163" s="42" t="s">
        <v>1297</v>
      </c>
      <c r="B163" s="36"/>
      <c r="C163" s="36"/>
      <c r="D163" s="36"/>
      <c r="E163" s="36"/>
      <c r="F163" s="47"/>
      <c r="K163" s="3" t="s">
        <v>1297</v>
      </c>
    </row>
    <row r="164" spans="1:11" ht="18" customHeight="1">
      <c r="A164" s="42" t="s">
        <v>417</v>
      </c>
      <c r="B164" s="36"/>
      <c r="C164" s="36"/>
      <c r="D164" s="36"/>
      <c r="E164" s="36"/>
      <c r="F164" s="47"/>
      <c r="K164" s="3" t="s">
        <v>417</v>
      </c>
    </row>
    <row r="165" spans="1:30" ht="18" customHeight="1">
      <c r="A165" s="42" t="s">
        <v>1297</v>
      </c>
      <c r="B165" s="36"/>
      <c r="C165" s="36"/>
      <c r="D165" s="36"/>
      <c r="E165" s="36"/>
      <c r="F165" s="47"/>
      <c r="K165" s="3" t="s">
        <v>2</v>
      </c>
      <c r="AA165" s="40"/>
      <c r="AB165" s="6"/>
      <c r="AC165" s="40"/>
      <c r="AD165" s="7"/>
    </row>
    <row r="166" spans="1:11" ht="18" customHeight="1">
      <c r="A166" s="42" t="s">
        <v>1297</v>
      </c>
      <c r="B166" s="36"/>
      <c r="C166" s="36"/>
      <c r="D166" s="36"/>
      <c r="E166" s="36"/>
      <c r="F166" s="47"/>
      <c r="K166" s="3" t="s">
        <v>1297</v>
      </c>
    </row>
    <row r="167" spans="1:42" ht="18" customHeight="1">
      <c r="A167" s="44" t="str">
        <f>CONCATENATE("   q=",TEXT($AB167,"#,##0.0"),",  K=",TEXT($AF167,"#,##0.0"),",   f= 0.875/1.25=",TEXT($AN167,"#,##0.00"))</f>
        <v>   q=0.0,  K=0.0,   f= 0.875/1.25=0.00</v>
      </c>
      <c r="B167" s="36">
        <f>SUM($C167,$D167,$E167)</f>
        <v>0</v>
      </c>
      <c r="C167" s="36"/>
      <c r="D167" s="36"/>
      <c r="E167" s="36"/>
      <c r="F167" s="47"/>
      <c r="K167" s="10" t="str">
        <f>SUBSTITUTE(SUBSTITUTE(SUBSTITUTE("   q=0.2,  K=0.9,   f= 0.875/1.25=?","0.2",TEXT($AB167,"#,##0.0"),1),"0.9",TEXT($AF167,"#,##0.0"),1),"_x001D_","'")</f>
        <v>   q=0.0,  K=0.0,   f= 0.875/1.25=?</v>
      </c>
      <c r="AA167" s="40"/>
      <c r="AB167" s="6"/>
      <c r="AC167" s="40"/>
      <c r="AD167" s="7"/>
      <c r="AE167" s="40"/>
      <c r="AF167" s="6"/>
      <c r="AG167" s="40"/>
      <c r="AH167" s="7"/>
      <c r="AI167" s="40"/>
      <c r="AJ167" s="8"/>
      <c r="AK167" s="40"/>
      <c r="AL167" s="7"/>
      <c r="AM167" s="40"/>
      <c r="AN167" s="8"/>
      <c r="AO167" s="40"/>
      <c r="AP167" s="7"/>
    </row>
    <row r="168" spans="1:11" ht="18" customHeight="1">
      <c r="A168" s="42" t="s">
        <v>1297</v>
      </c>
      <c r="B168" s="36"/>
      <c r="C168" s="36"/>
      <c r="D168" s="36"/>
      <c r="E168" s="36"/>
      <c r="F168" s="47"/>
      <c r="K168" s="3" t="s">
        <v>1297</v>
      </c>
    </row>
    <row r="169" spans="1:34" ht="18" customHeight="1">
      <c r="A169" s="44" t="str">
        <f>CONCATENATE("   E=",TEXT($AB169,"#,##0.00"),",   Cm=",TEXT($AF169,"#,##0.00")," Sec(135˚)")</f>
        <v>   E=0.00,   Cm=0.00 Sec(135˚)</v>
      </c>
      <c r="B169" s="36"/>
      <c r="C169" s="36"/>
      <c r="D169" s="36"/>
      <c r="E169" s="36"/>
      <c r="F169" s="47"/>
      <c r="K169" s="10" t="str">
        <f>SUBSTITUTE(SUBSTITUTE(SUBSTITUTE("   E=0.60,   Cm=18_x001D_Sec(135˚)_x001D_","0.60",TEXT($AB169,"#,##0.00"),1),"18",TEXT($AF169,"#,##0"),1),"_x001D_","'")</f>
        <v>   E=0.00,   Cm=0'Sec(135˚)'</v>
      </c>
      <c r="AA169" s="40"/>
      <c r="AB169" s="6"/>
      <c r="AC169" s="40"/>
      <c r="AD169" s="7"/>
      <c r="AE169" s="40"/>
      <c r="AF169" s="6"/>
      <c r="AG169" s="40"/>
      <c r="AH169" s="7"/>
    </row>
    <row r="170" spans="1:11" ht="18" customHeight="1">
      <c r="A170" s="42" t="s">
        <v>1297</v>
      </c>
      <c r="B170" s="36"/>
      <c r="C170" s="36"/>
      <c r="D170" s="36"/>
      <c r="E170" s="36"/>
      <c r="F170" s="47"/>
      <c r="K170" s="3" t="s">
        <v>1297</v>
      </c>
    </row>
    <row r="171" spans="1:34" ht="18" customHeight="1">
      <c r="A171" s="44" t="str">
        <f>CONCATENATE("   Q=3600*q*K*f*E/Cm=",TEXT($AF171,"#,##0.00")," ㎥/hr ")</f>
        <v>   Q=3600*q*K*f*E/Cm=0.00 ㎥/hr </v>
      </c>
      <c r="B171" s="36">
        <f>SUM($C171,$D171,$E171)</f>
        <v>0</v>
      </c>
      <c r="C171" s="36"/>
      <c r="D171" s="36"/>
      <c r="E171" s="36"/>
      <c r="F171" s="47"/>
      <c r="K171" s="3" t="s">
        <v>945</v>
      </c>
      <c r="AA171" s="40"/>
      <c r="AB171" s="8"/>
      <c r="AC171" s="40"/>
      <c r="AD171" s="7"/>
      <c r="AE171" s="40"/>
      <c r="AF171" s="8"/>
      <c r="AG171" s="40"/>
      <c r="AH171" s="7"/>
    </row>
    <row r="172" spans="1:11" ht="18" customHeight="1">
      <c r="A172" s="42" t="s">
        <v>1297</v>
      </c>
      <c r="B172" s="36"/>
      <c r="C172" s="36"/>
      <c r="D172" s="36"/>
      <c r="E172" s="36"/>
      <c r="F172" s="47"/>
      <c r="K172" s="3" t="s">
        <v>1297</v>
      </c>
    </row>
    <row r="173" spans="1:34" ht="18" customHeight="1">
      <c r="A173" s="44" t="str">
        <f>CONCATENATE(" 노무비: _x001D_47,849_x001D_ / Q * ",TEXT($AB173,"#,##0.00")," = ",TEXT($AF173,"#,##0.00"))</f>
        <v> 노무비: _x001D_47,849_x001D_ / Q * 0.00 = 0.00</v>
      </c>
      <c r="B173" s="36">
        <f>SUM($C173,$D173,$E173)</f>
        <v>0</v>
      </c>
      <c r="C173" s="36"/>
      <c r="D173" s="36">
        <f>$AF173</f>
        <v>0</v>
      </c>
      <c r="E173" s="36"/>
      <c r="F173" s="47" t="s">
        <v>1297</v>
      </c>
      <c r="K173" s="3" t="s">
        <v>1</v>
      </c>
      <c r="AA173" s="40"/>
      <c r="AB173" s="8"/>
      <c r="AC173" s="40"/>
      <c r="AD173" s="7"/>
      <c r="AE173" s="41"/>
      <c r="AF173" s="8"/>
      <c r="AG173" s="41"/>
      <c r="AH173" s="7"/>
    </row>
    <row r="174" spans="1:11" ht="18" customHeight="1">
      <c r="A174" s="42" t="s">
        <v>1297</v>
      </c>
      <c r="B174" s="36"/>
      <c r="C174" s="36"/>
      <c r="D174" s="36"/>
      <c r="E174" s="36"/>
      <c r="F174" s="47"/>
      <c r="K174" s="3" t="s">
        <v>1297</v>
      </c>
    </row>
    <row r="175" spans="1:34" ht="18" customHeight="1">
      <c r="A175" s="44" t="str">
        <f>CONCATENATE(" 재료비: _x001D_10,103.5_x001D_ / Q * ",TEXT($AB175,"#,##0.00")," = ",TEXT($AF175,"#,##0.00"))</f>
        <v> 재료비: _x001D_10,103.5_x001D_ / Q * 0.00 = 0.00</v>
      </c>
      <c r="B175" s="36">
        <f>SUM($C175,$D175,$E175)</f>
        <v>0</v>
      </c>
      <c r="C175" s="36">
        <f>$AF175</f>
        <v>0</v>
      </c>
      <c r="D175" s="36"/>
      <c r="E175" s="36"/>
      <c r="F175" s="47" t="s">
        <v>1297</v>
      </c>
      <c r="K175" s="3" t="s">
        <v>641</v>
      </c>
      <c r="AA175" s="40"/>
      <c r="AB175" s="8"/>
      <c r="AC175" s="40"/>
      <c r="AD175" s="7"/>
      <c r="AE175" s="41"/>
      <c r="AF175" s="8"/>
      <c r="AG175" s="41"/>
      <c r="AH175" s="7"/>
    </row>
    <row r="176" spans="1:11" ht="18" customHeight="1">
      <c r="A176" s="42" t="s">
        <v>1297</v>
      </c>
      <c r="B176" s="36"/>
      <c r="C176" s="36"/>
      <c r="D176" s="36"/>
      <c r="E176" s="36"/>
      <c r="F176" s="47"/>
      <c r="K176" s="3" t="s">
        <v>1297</v>
      </c>
    </row>
    <row r="177" spans="1:34" ht="18" customHeight="1">
      <c r="A177" s="44" t="str">
        <f>CONCATENATE(" 경  비: _x001D_12,688_x001D_ / Q * ",TEXT($AB177,"#,##0.00")," = ",TEXT($AF177,"#,##0.00"))</f>
        <v> 경  비: _x001D_12,688_x001D_ / Q * 0.00 = 0.00</v>
      </c>
      <c r="B177" s="36">
        <f>SUM($C177,$D177,$E177)</f>
        <v>0</v>
      </c>
      <c r="C177" s="36"/>
      <c r="D177" s="36"/>
      <c r="E177" s="36">
        <f>$AF177</f>
        <v>0</v>
      </c>
      <c r="F177" s="47" t="s">
        <v>1297</v>
      </c>
      <c r="K177" s="3" t="s">
        <v>570</v>
      </c>
      <c r="AA177" s="40"/>
      <c r="AB177" s="8"/>
      <c r="AC177" s="40"/>
      <c r="AD177" s="7"/>
      <c r="AE177" s="41"/>
      <c r="AF177" s="8"/>
      <c r="AG177" s="41"/>
      <c r="AH177" s="7"/>
    </row>
    <row r="178" spans="1:11" ht="18" customHeight="1">
      <c r="A178" s="42" t="s">
        <v>1297</v>
      </c>
      <c r="B178" s="36"/>
      <c r="C178" s="36"/>
      <c r="D178" s="36"/>
      <c r="E178" s="36"/>
      <c r="F178" s="47"/>
      <c r="K178" s="3" t="s">
        <v>1297</v>
      </c>
    </row>
    <row r="179" spans="1:32" ht="18" customHeight="1">
      <c r="A179" s="42" t="s">
        <v>914</v>
      </c>
      <c r="B179" s="37">
        <f>SUM($C179,$D179,$E179)</f>
        <v>0</v>
      </c>
      <c r="C179" s="37">
        <f>$AB179</f>
        <v>0</v>
      </c>
      <c r="D179" s="37">
        <f>$AD179</f>
        <v>0</v>
      </c>
      <c r="E179" s="37">
        <f>$AF179</f>
        <v>0</v>
      </c>
      <c r="F179" s="48"/>
      <c r="K179" s="3" t="s">
        <v>925</v>
      </c>
      <c r="AA179" s="40"/>
      <c r="AB179" s="7"/>
      <c r="AC179" s="40"/>
      <c r="AD179" s="7"/>
      <c r="AE179" s="40"/>
      <c r="AF179" s="7"/>
    </row>
    <row r="180" spans="1:11" ht="18" customHeight="1">
      <c r="A180" s="42" t="s">
        <v>1297</v>
      </c>
      <c r="B180" s="36"/>
      <c r="C180" s="36"/>
      <c r="D180" s="36"/>
      <c r="E180" s="36"/>
      <c r="F180" s="47"/>
      <c r="K180" s="3" t="s">
        <v>1297</v>
      </c>
    </row>
    <row r="181" spans="1:11" ht="18" customHeight="1">
      <c r="A181" s="42" t="s">
        <v>774</v>
      </c>
      <c r="B181" s="36"/>
      <c r="C181" s="36"/>
      <c r="D181" s="36"/>
      <c r="E181" s="36"/>
      <c r="F181" s="47"/>
      <c r="K181" s="3" t="s">
        <v>774</v>
      </c>
    </row>
    <row r="182" spans="1:30" ht="18" customHeight="1">
      <c r="A182" s="42" t="s">
        <v>1297</v>
      </c>
      <c r="B182" s="36"/>
      <c r="C182" s="36"/>
      <c r="D182" s="36"/>
      <c r="E182" s="36"/>
      <c r="F182" s="47"/>
      <c r="K182" s="3" t="s">
        <v>1036</v>
      </c>
      <c r="AA182" s="40"/>
      <c r="AB182" s="6"/>
      <c r="AC182" s="40"/>
      <c r="AD182" s="7"/>
    </row>
    <row r="183" spans="1:11" ht="18" customHeight="1">
      <c r="A183" s="42" t="s">
        <v>1297</v>
      </c>
      <c r="B183" s="36"/>
      <c r="C183" s="36"/>
      <c r="D183" s="36"/>
      <c r="E183" s="36"/>
      <c r="F183" s="47"/>
      <c r="K183" s="3" t="s">
        <v>1297</v>
      </c>
    </row>
    <row r="184" spans="1:34" ht="18" customHeight="1">
      <c r="A184" s="44" t="str">
        <f>CONCATENATE(" .보통인부: _x001D_148,510_x001D_ * 0.11 인 * ",TEXT($AB184,"#,##0.00")," = ",TEXT($AF184,"#,##0.00"))</f>
        <v> .보통인부: _x001D_148,510_x001D_ * 0.11 인 * 0.00 = 0.00</v>
      </c>
      <c r="B184" s="36">
        <f>SUM($C184,$D184,$E184)</f>
        <v>0</v>
      </c>
      <c r="C184" s="36"/>
      <c r="D184" s="36">
        <f>$AF184</f>
        <v>0</v>
      </c>
      <c r="E184" s="36"/>
      <c r="F184" s="47" t="s">
        <v>1297</v>
      </c>
      <c r="K184" s="3" t="s">
        <v>430</v>
      </c>
      <c r="AA184" s="40"/>
      <c r="AB184" s="8"/>
      <c r="AC184" s="40"/>
      <c r="AD184" s="7"/>
      <c r="AE184" s="41"/>
      <c r="AF184" s="8"/>
      <c r="AG184" s="41"/>
      <c r="AH184" s="7"/>
    </row>
    <row r="185" spans="1:11" ht="18" customHeight="1">
      <c r="A185" s="42" t="s">
        <v>1297</v>
      </c>
      <c r="B185" s="36"/>
      <c r="C185" s="36"/>
      <c r="D185" s="36"/>
      <c r="E185" s="36"/>
      <c r="F185" s="47"/>
      <c r="K185" s="3" t="s">
        <v>1297</v>
      </c>
    </row>
    <row r="186" spans="1:32" ht="18" customHeight="1">
      <c r="A186" s="42" t="s">
        <v>914</v>
      </c>
      <c r="B186" s="37">
        <f>SUM($C186,$D186,$E186)</f>
        <v>0</v>
      </c>
      <c r="C186" s="37">
        <f>$AB186</f>
        <v>0</v>
      </c>
      <c r="D186" s="37">
        <f>$AD186</f>
        <v>0</v>
      </c>
      <c r="E186" s="37">
        <f>$AF186</f>
        <v>0</v>
      </c>
      <c r="F186" s="48"/>
      <c r="K186" s="3" t="s">
        <v>925</v>
      </c>
      <c r="AA186" s="40"/>
      <c r="AB186" s="7"/>
      <c r="AC186" s="40"/>
      <c r="AD186" s="7"/>
      <c r="AE186" s="40"/>
      <c r="AF186" s="7"/>
    </row>
    <row r="187" spans="1:11" ht="18" customHeight="1">
      <c r="A187" s="42" t="s">
        <v>1297</v>
      </c>
      <c r="B187" s="36"/>
      <c r="C187" s="36"/>
      <c r="D187" s="36"/>
      <c r="E187" s="36"/>
      <c r="F187" s="47"/>
      <c r="K187" s="3" t="s">
        <v>1297</v>
      </c>
    </row>
    <row r="188" spans="1:11" ht="18" customHeight="1">
      <c r="A188" s="42" t="s">
        <v>1297</v>
      </c>
      <c r="B188" s="36"/>
      <c r="C188" s="36"/>
      <c r="D188" s="36"/>
      <c r="E188" s="36"/>
      <c r="F188" s="47"/>
      <c r="K188" s="3" t="s">
        <v>1297</v>
      </c>
    </row>
    <row r="189" spans="1:32" ht="18" customHeight="1">
      <c r="A189" s="42" t="s">
        <v>1196</v>
      </c>
      <c r="B189" s="38">
        <f>SUM($C189,$D189,$E189)</f>
        <v>0</v>
      </c>
      <c r="C189" s="38">
        <f>$AB189</f>
        <v>0</v>
      </c>
      <c r="D189" s="38">
        <f>$AD189</f>
        <v>0</v>
      </c>
      <c r="E189" s="38">
        <f>$AF189</f>
        <v>0</v>
      </c>
      <c r="F189" s="49"/>
      <c r="K189" s="3" t="s">
        <v>253</v>
      </c>
      <c r="AA189" s="40"/>
      <c r="AB189" s="7"/>
      <c r="AC189" s="40"/>
      <c r="AD189" s="7"/>
      <c r="AE189" s="40"/>
      <c r="AF189" s="7"/>
    </row>
    <row r="190" spans="1:11" ht="18" customHeight="1">
      <c r="A190" s="42" t="s">
        <v>1297</v>
      </c>
      <c r="B190" s="36"/>
      <c r="C190" s="36"/>
      <c r="D190" s="36"/>
      <c r="E190" s="36"/>
      <c r="F190" s="47"/>
      <c r="K190" s="3" t="s">
        <v>1297</v>
      </c>
    </row>
    <row r="191" spans="1:11" ht="18" customHeight="1">
      <c r="A191" s="42" t="s">
        <v>1297</v>
      </c>
      <c r="B191" s="36"/>
      <c r="C191" s="36"/>
      <c r="D191" s="36"/>
      <c r="E191" s="36"/>
      <c r="F191" s="47"/>
      <c r="K191" s="3" t="s">
        <v>1297</v>
      </c>
    </row>
    <row r="192" spans="1:11" ht="18" customHeight="1">
      <c r="A192" s="42" t="s">
        <v>456</v>
      </c>
      <c r="B192" s="36"/>
      <c r="C192" s="36"/>
      <c r="D192" s="36"/>
      <c r="E192" s="36"/>
      <c r="F192" s="47"/>
      <c r="K192" s="3" t="s">
        <v>456</v>
      </c>
    </row>
    <row r="193" spans="1:11" ht="18" customHeight="1">
      <c r="A193" s="42" t="s">
        <v>73</v>
      </c>
      <c r="B193" s="36"/>
      <c r="C193" s="36"/>
      <c r="D193" s="36"/>
      <c r="E193" s="36"/>
      <c r="F193" s="47"/>
      <c r="K193" s="3" t="s">
        <v>73</v>
      </c>
    </row>
    <row r="194" spans="1:11" ht="18" customHeight="1">
      <c r="A194" s="42" t="s">
        <v>1297</v>
      </c>
      <c r="B194" s="36"/>
      <c r="C194" s="36"/>
      <c r="D194" s="36"/>
      <c r="E194" s="36"/>
      <c r="F194" s="47"/>
      <c r="K194" s="3" t="s">
        <v>1297</v>
      </c>
    </row>
    <row r="195" spans="1:38" ht="18" customHeight="1">
      <c r="A195" s="44" t="str">
        <f>CONCATENATE("    A = 0.28 * 0.33 = ",TEXT($AF195,"#,##0.0000")," , N=",TEXT($AJ195,"#,##0.00"))</f>
        <v>    A = 0.28 * 0.33 = 0.0000 , N=0.00</v>
      </c>
      <c r="B195" s="36">
        <f>SUM($C195,$D195,$E195)</f>
        <v>0</v>
      </c>
      <c r="C195" s="36"/>
      <c r="D195" s="36"/>
      <c r="E195" s="36"/>
      <c r="F195" s="47"/>
      <c r="K195" s="10" t="str">
        <f>SUBSTITUTE(SUBSTITUTE("    A = 0.28 * 0.33 = {?,_x001D_9.999R_x001D_} , N = 36000","36000",TEXT($AJ195,"#,##0"),1),"_x001D_","'")</f>
        <v>    A = 0.28 * 0.33 = {?,'9.999R'} , N = 0</v>
      </c>
      <c r="AA195" s="40"/>
      <c r="AB195" s="8"/>
      <c r="AC195" s="40"/>
      <c r="AD195" s="7"/>
      <c r="AE195" s="40"/>
      <c r="AF195" s="8"/>
      <c r="AG195" s="40"/>
      <c r="AH195" s="7"/>
      <c r="AI195" s="40"/>
      <c r="AJ195" s="6"/>
      <c r="AK195" s="40"/>
      <c r="AL195" s="7"/>
    </row>
    <row r="196" spans="1:11" ht="18" customHeight="1">
      <c r="A196" s="42" t="s">
        <v>1297</v>
      </c>
      <c r="B196" s="36"/>
      <c r="C196" s="36"/>
      <c r="D196" s="36"/>
      <c r="E196" s="36"/>
      <c r="F196" s="47"/>
      <c r="K196" s="3" t="s">
        <v>1297</v>
      </c>
    </row>
    <row r="197" spans="1:42" ht="18" customHeight="1">
      <c r="A197" s="44" t="str">
        <f>CONCATENATE("    H=",TEXT($AB197,"#,##0.00")," ,  F=",TEXT($AF197,"#,##0.0")," ,  E=",TEXT($AJ197,"#,##0.0")," ,  P=",TEXT($AN197,"#,##0.00"))</f>
        <v>    H=0.00 ,  F=0.0 ,  E=0.0 ,  P=0.00</v>
      </c>
      <c r="B197" s="36"/>
      <c r="C197" s="36"/>
      <c r="D197" s="36"/>
      <c r="E197" s="36"/>
      <c r="F197" s="47"/>
      <c r="K197" s="10" t="str">
        <f>SUBSTITUTE(SUBSTITUTE(SUBSTITUTE(SUBSTITUTE(SUBSTITUTE("    H = 0.15 ,  F = 1.0 ,  E = 0.5 ,  P=57","0.15",TEXT($AB197,"#,##0.00"),1),"1.0",TEXT($AF197,"#,##0.0"),1),"0.5",TEXT($AJ197,"#,##0.0"),1),"57",TEXT($AN197,"#,##0"),1),"_x001D_","'")</f>
        <v>    H = 0.00 ,  F = 0.0 ,  E = 0.0 ,  P=0</v>
      </c>
      <c r="AA197" s="40"/>
      <c r="AB197" s="6"/>
      <c r="AC197" s="40"/>
      <c r="AD197" s="7"/>
      <c r="AE197" s="40"/>
      <c r="AF197" s="6"/>
      <c r="AG197" s="40"/>
      <c r="AH197" s="7"/>
      <c r="AI197" s="40"/>
      <c r="AJ197" s="6"/>
      <c r="AK197" s="40"/>
      <c r="AL197" s="7"/>
      <c r="AM197" s="40"/>
      <c r="AN197" s="6"/>
      <c r="AO197" s="40"/>
      <c r="AP197" s="7"/>
    </row>
    <row r="198" spans="1:11" ht="18" customHeight="1">
      <c r="A198" s="42" t="s">
        <v>1297</v>
      </c>
      <c r="B198" s="36"/>
      <c r="C198" s="36"/>
      <c r="D198" s="36"/>
      <c r="E198" s="36"/>
      <c r="F198" s="47"/>
      <c r="K198" s="3" t="s">
        <v>1297</v>
      </c>
    </row>
    <row r="199" spans="1:58" ht="18" customHeight="1">
      <c r="A199" s="44" t="e">
        <f>CONCATENATE("    Q = ",TEXT($AB199,"#,##0.00")," * ",TEXT($AF199,"#,##0.00")," * ",TEXT($AJ199,"#,##0.00")," * ",TEXT($AN199,"#,##0.00")," * ",TEXT($AR199,"#,##0.00")," / ",TEXT($AV199,"#,##0.00")," = ",TEXT($BD199,"#,##0.00")," M3/HR ")</f>
        <v>#DIV/0!</v>
      </c>
      <c r="B199" s="36">
        <f>SUM($C199,$D199,$E199)</f>
        <v>0</v>
      </c>
      <c r="C199" s="36"/>
      <c r="D199" s="36"/>
      <c r="E199" s="36"/>
      <c r="F199" s="47"/>
      <c r="K199" s="3" t="s">
        <v>231</v>
      </c>
      <c r="AA199" s="40"/>
      <c r="AB199" s="8"/>
      <c r="AC199" s="40"/>
      <c r="AD199" s="7"/>
      <c r="AE199" s="40"/>
      <c r="AF199" s="8"/>
      <c r="AG199" s="40"/>
      <c r="AH199" s="7"/>
      <c r="AI199" s="40"/>
      <c r="AJ199" s="8"/>
      <c r="AK199" s="40"/>
      <c r="AL199" s="7"/>
      <c r="AM199" s="40"/>
      <c r="AN199" s="8"/>
      <c r="AO199" s="40"/>
      <c r="AP199" s="7"/>
      <c r="AQ199" s="40"/>
      <c r="AR199" s="8">
        <f>$AL197</f>
        <v>0</v>
      </c>
      <c r="AS199" s="40" t="s">
        <v>132</v>
      </c>
      <c r="AT199" s="7">
        <f>$AR199</f>
        <v>0</v>
      </c>
      <c r="AU199" s="40" t="s">
        <v>750</v>
      </c>
      <c r="AV199" s="8">
        <f>$AP197</f>
        <v>0</v>
      </c>
      <c r="AW199" s="40" t="s">
        <v>1258</v>
      </c>
      <c r="AX199" s="7">
        <f>$AV199</f>
        <v>0</v>
      </c>
      <c r="AY199" s="40" t="s">
        <v>254</v>
      </c>
      <c r="AZ199" s="8" t="e">
        <f>ROUND($AD199*$AH199*$AL199*$AP199*$AT199/$AX199,2)</f>
        <v>#DIV/0!</v>
      </c>
      <c r="BA199" s="40" t="s">
        <v>893</v>
      </c>
      <c r="BB199" s="7" t="e">
        <f>$AZ199</f>
        <v>#DIV/0!</v>
      </c>
      <c r="BC199" s="40" t="s">
        <v>202</v>
      </c>
      <c r="BD199" s="8" t="e">
        <f>ROUND(ROUND($AD199*$AH199*$AL199*$AP199*$AT199/$AX199,2),2)</f>
        <v>#DIV/0!</v>
      </c>
      <c r="BE199" s="40" t="s">
        <v>725</v>
      </c>
      <c r="BF199" s="7" t="e">
        <f>$BD199</f>
        <v>#DIV/0!</v>
      </c>
    </row>
    <row r="200" spans="1:11" ht="18" customHeight="1">
      <c r="A200" s="42" t="s">
        <v>1297</v>
      </c>
      <c r="B200" s="36"/>
      <c r="C200" s="36"/>
      <c r="D200" s="36"/>
      <c r="E200" s="36"/>
      <c r="F200" s="47"/>
      <c r="K200" s="3" t="s">
        <v>1297</v>
      </c>
    </row>
    <row r="201" spans="1:34" ht="18" customHeight="1">
      <c r="A201" s="44" t="str">
        <f>CONCATENATE("     재료비:  _x001D_1,312.08_x001D_ / ",TEXT($AB201,"#,##0.00")," = ",TEXT($AF201,"#,##0.00"))</f>
        <v>     재료비:  _x001D_1,312.08_x001D_ / 0.00 = 0.00</v>
      </c>
      <c r="B201" s="36">
        <f>SUM($C201,$D201,$E201)</f>
        <v>0</v>
      </c>
      <c r="C201" s="36">
        <f>$AF201</f>
        <v>0</v>
      </c>
      <c r="D201" s="36"/>
      <c r="E201" s="36"/>
      <c r="F201" s="47" t="s">
        <v>1297</v>
      </c>
      <c r="K201" s="3" t="s">
        <v>585</v>
      </c>
      <c r="AA201" s="40"/>
      <c r="AB201" s="8"/>
      <c r="AC201" s="40"/>
      <c r="AD201" s="7"/>
      <c r="AE201" s="41"/>
      <c r="AF201" s="8"/>
      <c r="AG201" s="41"/>
      <c r="AH201" s="7"/>
    </row>
    <row r="202" spans="1:11" ht="18" customHeight="1">
      <c r="A202" s="42" t="s">
        <v>1297</v>
      </c>
      <c r="B202" s="36"/>
      <c r="C202" s="36"/>
      <c r="D202" s="36"/>
      <c r="E202" s="36"/>
      <c r="F202" s="47"/>
      <c r="K202" s="3" t="s">
        <v>1297</v>
      </c>
    </row>
    <row r="203" spans="1:34" ht="18" customHeight="1">
      <c r="A203" s="44" t="str">
        <f>CONCATENATE("     노무비:  _x001D_29,239_x001D_ / ",TEXT($AB203,"#,##0.00")," = ",TEXT($AF203,"#,##0.00"))</f>
        <v>     노무비:  _x001D_29,239_x001D_ / 0.00 = 0.00</v>
      </c>
      <c r="B203" s="36">
        <f>SUM($C203,$D203,$E203)</f>
        <v>0</v>
      </c>
      <c r="C203" s="36"/>
      <c r="D203" s="36">
        <f>$AF203</f>
        <v>0</v>
      </c>
      <c r="E203" s="36"/>
      <c r="F203" s="47" t="s">
        <v>1297</v>
      </c>
      <c r="K203" s="3" t="s">
        <v>1114</v>
      </c>
      <c r="AA203" s="40"/>
      <c r="AB203" s="8"/>
      <c r="AC203" s="40"/>
      <c r="AD203" s="7"/>
      <c r="AE203" s="41"/>
      <c r="AF203" s="8"/>
      <c r="AG203" s="41"/>
      <c r="AH203" s="7"/>
    </row>
    <row r="204" spans="1:11" ht="18" customHeight="1">
      <c r="A204" s="42" t="s">
        <v>1297</v>
      </c>
      <c r="B204" s="36"/>
      <c r="C204" s="36"/>
      <c r="D204" s="36"/>
      <c r="E204" s="36"/>
      <c r="F204" s="47"/>
      <c r="K204" s="3" t="s">
        <v>1297</v>
      </c>
    </row>
    <row r="205" spans="1:34" ht="18" customHeight="1">
      <c r="A205" s="44" t="str">
        <f>CONCATENATE("     경  비:  _x001D_472_x001D_ / ",TEXT($AB205,"#,##0.00")," = ",TEXT($AF205,"#,##0.00"))</f>
        <v>     경  비:  _x001D_472_x001D_ / 0.00 = 0.00</v>
      </c>
      <c r="B205" s="36">
        <f>SUM($C205,$D205,$E205)</f>
        <v>0</v>
      </c>
      <c r="C205" s="36"/>
      <c r="D205" s="36"/>
      <c r="E205" s="36">
        <f>$AF205</f>
        <v>0</v>
      </c>
      <c r="F205" s="47" t="s">
        <v>1297</v>
      </c>
      <c r="K205" s="3" t="s">
        <v>796</v>
      </c>
      <c r="AA205" s="40"/>
      <c r="AB205" s="8"/>
      <c r="AC205" s="40"/>
      <c r="AD205" s="7"/>
      <c r="AE205" s="41"/>
      <c r="AF205" s="8"/>
      <c r="AG205" s="41"/>
      <c r="AH205" s="7"/>
    </row>
    <row r="206" spans="1:11" ht="18" customHeight="1">
      <c r="A206" s="42" t="s">
        <v>1297</v>
      </c>
      <c r="B206" s="36"/>
      <c r="C206" s="36"/>
      <c r="D206" s="36"/>
      <c r="E206" s="36"/>
      <c r="F206" s="47"/>
      <c r="K206" s="3" t="s">
        <v>1297</v>
      </c>
    </row>
    <row r="207" spans="1:32" ht="18" customHeight="1">
      <c r="A207" s="42" t="s">
        <v>782</v>
      </c>
      <c r="B207" s="38">
        <f>SUM($C207,$D207,$E207)</f>
        <v>0</v>
      </c>
      <c r="C207" s="38">
        <f>$AB207</f>
        <v>0</v>
      </c>
      <c r="D207" s="38">
        <f>$AD207</f>
        <v>0</v>
      </c>
      <c r="E207" s="38">
        <f>$AF207</f>
        <v>0</v>
      </c>
      <c r="F207" s="49"/>
      <c r="K207" s="3" t="s">
        <v>1293</v>
      </c>
      <c r="AA207" s="40"/>
      <c r="AB207" s="7"/>
      <c r="AC207" s="40"/>
      <c r="AD207" s="7"/>
      <c r="AE207" s="40"/>
      <c r="AF207" s="7"/>
    </row>
    <row r="208" spans="1:11" ht="18" customHeight="1">
      <c r="A208" s="42" t="s">
        <v>1297</v>
      </c>
      <c r="B208" s="36"/>
      <c r="C208" s="36"/>
      <c r="D208" s="36"/>
      <c r="E208" s="36"/>
      <c r="F208" s="47"/>
      <c r="K208" s="3" t="s">
        <v>1297</v>
      </c>
    </row>
    <row r="209" spans="1:11" ht="18" customHeight="1">
      <c r="A209" s="42" t="s">
        <v>1297</v>
      </c>
      <c r="B209" s="36"/>
      <c r="C209" s="36"/>
      <c r="D209" s="36"/>
      <c r="E209" s="36"/>
      <c r="F209" s="47"/>
      <c r="K209" s="3" t="s">
        <v>1297</v>
      </c>
    </row>
    <row r="210" spans="1:32" ht="18" customHeight="1">
      <c r="A210" s="42" t="s">
        <v>531</v>
      </c>
      <c r="B210" s="39">
        <f>SUM($C210,$D210,$E210)</f>
        <v>0</v>
      </c>
      <c r="C210" s="39">
        <f>$AB210</f>
        <v>0</v>
      </c>
      <c r="D210" s="39">
        <f>$AD210</f>
        <v>0</v>
      </c>
      <c r="E210" s="39">
        <f>$AF210</f>
        <v>0</v>
      </c>
      <c r="F210" s="51"/>
      <c r="K210" s="3" t="s">
        <v>18</v>
      </c>
      <c r="AA210" s="40"/>
      <c r="AB210" s="7"/>
      <c r="AC210" s="40"/>
      <c r="AD210" s="7"/>
      <c r="AE210" s="40"/>
      <c r="AF210" s="7"/>
    </row>
    <row r="211" spans="1:11" ht="18" customHeight="1">
      <c r="A211" s="42" t="s">
        <v>1297</v>
      </c>
      <c r="B211" s="36"/>
      <c r="C211" s="36"/>
      <c r="D211" s="36"/>
      <c r="E211" s="36"/>
      <c r="F211" s="47"/>
      <c r="K211" s="3" t="s">
        <v>1297</v>
      </c>
    </row>
    <row r="212" spans="1:6" ht="18" customHeight="1">
      <c r="A212" s="42"/>
      <c r="B212" s="3"/>
      <c r="C212" s="3"/>
      <c r="D212" s="3"/>
      <c r="E212" s="3"/>
      <c r="F212" s="46"/>
    </row>
    <row r="213" spans="1:6" ht="18" customHeight="1">
      <c r="A213" s="45" t="s">
        <v>726</v>
      </c>
      <c r="B213" s="39">
        <f>SUM($C213,$D213,$E213)</f>
        <v>0</v>
      </c>
      <c r="C213" s="39">
        <f>TRUNC(SUM($AH201),0)</f>
        <v>0</v>
      </c>
      <c r="D213" s="39">
        <f>TRUNC(SUM($AH203),0)</f>
        <v>0</v>
      </c>
      <c r="E213" s="39">
        <f>TRUNC(SUM($AH205),0)</f>
        <v>0</v>
      </c>
      <c r="F213" s="50"/>
    </row>
    <row r="214" spans="1:6" ht="18" customHeight="1">
      <c r="A214" s="42"/>
      <c r="B214" s="3"/>
      <c r="C214" s="3"/>
      <c r="D214" s="3"/>
      <c r="E214" s="3"/>
      <c r="F214" s="46"/>
    </row>
    <row r="215" spans="1:26" ht="18" customHeight="1">
      <c r="A215" s="42" t="s">
        <v>1028</v>
      </c>
      <c r="B215" s="36">
        <f>$B271</f>
        <v>0</v>
      </c>
      <c r="C215" s="36">
        <f>$C271</f>
        <v>0</v>
      </c>
      <c r="D215" s="36">
        <f>$D271</f>
        <v>0</v>
      </c>
      <c r="E215" s="36">
        <f>$E271</f>
        <v>0</v>
      </c>
      <c r="F215" s="46" t="s">
        <v>1297</v>
      </c>
      <c r="H215" t="s">
        <v>164</v>
      </c>
      <c r="K215">
        <v>1</v>
      </c>
      <c r="Y215" s="7" t="b">
        <f>EXACT($Z215,$B271)</f>
        <v>0</v>
      </c>
      <c r="Z215" s="39"/>
    </row>
    <row r="216" spans="1:6" ht="18" customHeight="1">
      <c r="A216" s="43"/>
      <c r="B216" s="3"/>
      <c r="C216" s="3"/>
      <c r="D216" s="3"/>
      <c r="E216" s="3"/>
      <c r="F216" s="46"/>
    </row>
    <row r="217" spans="1:11" ht="18" customHeight="1">
      <c r="A217" s="42" t="s">
        <v>1297</v>
      </c>
      <c r="B217" s="3"/>
      <c r="C217" s="3"/>
      <c r="D217" s="3"/>
      <c r="E217" s="3"/>
      <c r="F217" s="46"/>
      <c r="I217" t="s">
        <v>166</v>
      </c>
      <c r="K217" t="s">
        <v>1083</v>
      </c>
    </row>
    <row r="218" spans="1:11" ht="18" customHeight="1">
      <c r="A218" s="42" t="s">
        <v>521</v>
      </c>
      <c r="B218" s="36"/>
      <c r="C218" s="36"/>
      <c r="D218" s="36"/>
      <c r="E218" s="36"/>
      <c r="F218" s="47"/>
      <c r="K218" s="3" t="s">
        <v>521</v>
      </c>
    </row>
    <row r="219" spans="1:11" ht="18" customHeight="1">
      <c r="A219" s="42" t="s">
        <v>1297</v>
      </c>
      <c r="B219" s="36"/>
      <c r="C219" s="36"/>
      <c r="D219" s="36"/>
      <c r="E219" s="36"/>
      <c r="F219" s="47"/>
      <c r="K219" s="3" t="s">
        <v>1297</v>
      </c>
    </row>
    <row r="220" spans="1:11" ht="18" customHeight="1">
      <c r="A220" s="42" t="s">
        <v>944</v>
      </c>
      <c r="B220" s="36"/>
      <c r="C220" s="36"/>
      <c r="D220" s="36"/>
      <c r="E220" s="36"/>
      <c r="F220" s="47"/>
      <c r="K220" s="3" t="s">
        <v>944</v>
      </c>
    </row>
    <row r="221" spans="1:11" ht="18" customHeight="1">
      <c r="A221" s="42" t="s">
        <v>1297</v>
      </c>
      <c r="B221" s="36"/>
      <c r="C221" s="36"/>
      <c r="D221" s="36"/>
      <c r="E221" s="36"/>
      <c r="F221" s="47"/>
      <c r="K221" s="3" t="s">
        <v>1297</v>
      </c>
    </row>
    <row r="222" spans="1:11" ht="18" customHeight="1">
      <c r="A222" s="42" t="s">
        <v>603</v>
      </c>
      <c r="B222" s="36"/>
      <c r="C222" s="36"/>
      <c r="D222" s="36"/>
      <c r="E222" s="36"/>
      <c r="F222" s="47"/>
      <c r="K222" s="3" t="s">
        <v>603</v>
      </c>
    </row>
    <row r="223" spans="1:11" ht="18" customHeight="1">
      <c r="A223" s="42" t="s">
        <v>1297</v>
      </c>
      <c r="B223" s="36"/>
      <c r="C223" s="36"/>
      <c r="D223" s="36"/>
      <c r="E223" s="36"/>
      <c r="F223" s="47"/>
      <c r="K223" s="3" t="s">
        <v>1297</v>
      </c>
    </row>
    <row r="224" spans="1:42" ht="18" customHeight="1">
      <c r="A224" s="44" t="str">
        <f>CONCATENATE("   q=",TEXT($AB224,"#,##0.0"),", K=",TEXT($AF224,"#,##0.0"),", f = 1/1.25 =",TEXT($AN224,"#,##0.00"))</f>
        <v>   q=0.0, K=0.0, f = 1/1.25 =0.00</v>
      </c>
      <c r="B224" s="36">
        <f>SUM($C224,$D224,$E224)</f>
        <v>0</v>
      </c>
      <c r="C224" s="36"/>
      <c r="D224" s="36"/>
      <c r="E224" s="36"/>
      <c r="F224" s="47"/>
      <c r="K224" s="10" t="str">
        <f>SUBSTITUTE(SUBSTITUTE(SUBSTITUTE("   q = 0.2, K = 0.9, f = 1/1.25 =?","0.2",TEXT($AB224,"#,##0.0"),1),"0.9",TEXT($AF224,"#,##0.0"),1),"_x001D_","'")</f>
        <v>   q = 0.0, K = 0.0, f = 1/1.25 =?</v>
      </c>
      <c r="AA224" s="40"/>
      <c r="AB224" s="6"/>
      <c r="AC224" s="40"/>
      <c r="AD224" s="7"/>
      <c r="AE224" s="40"/>
      <c r="AF224" s="6"/>
      <c r="AG224" s="40"/>
      <c r="AH224" s="7"/>
      <c r="AI224" s="40"/>
      <c r="AJ224" s="8"/>
      <c r="AK224" s="40"/>
      <c r="AL224" s="7"/>
      <c r="AM224" s="40"/>
      <c r="AN224" s="8"/>
      <c r="AO224" s="40"/>
      <c r="AP224" s="7"/>
    </row>
    <row r="225" spans="1:11" ht="18" customHeight="1">
      <c r="A225" s="42" t="s">
        <v>1297</v>
      </c>
      <c r="B225" s="36"/>
      <c r="C225" s="36"/>
      <c r="D225" s="36"/>
      <c r="E225" s="36"/>
      <c r="F225" s="47"/>
      <c r="K225" s="3" t="s">
        <v>1297</v>
      </c>
    </row>
    <row r="226" spans="1:30" ht="18" customHeight="1">
      <c r="A226" s="44" t="str">
        <f>CONCATENATE("   Eo=",TEXT($AB226,"#,##0.00"))</f>
        <v>   Eo=0.00</v>
      </c>
      <c r="B226" s="36"/>
      <c r="C226" s="36"/>
      <c r="D226" s="36"/>
      <c r="E226" s="36"/>
      <c r="F226" s="47"/>
      <c r="K226" s="10" t="str">
        <f>SUBSTITUTE(SUBSTITUTE("   Eo = 0.75","0.75",TEXT($AB226,"#,##0.00"),1),"_x001D_","'")</f>
        <v>   Eo = 0.00</v>
      </c>
      <c r="AA226" s="40"/>
      <c r="AB226" s="6"/>
      <c r="AC226" s="40"/>
      <c r="AD226" s="7"/>
    </row>
    <row r="227" spans="1:11" ht="18" customHeight="1">
      <c r="A227" s="42" t="s">
        <v>1297</v>
      </c>
      <c r="B227" s="36"/>
      <c r="C227" s="36"/>
      <c r="D227" s="36"/>
      <c r="E227" s="36"/>
      <c r="F227" s="47"/>
      <c r="K227" s="3" t="s">
        <v>1297</v>
      </c>
    </row>
    <row r="228" spans="1:30" ht="18" customHeight="1">
      <c r="A228" s="44" t="str">
        <f>CONCATENATE("   CM=",TEXT($AB228,"#,##0.00")," SEC(135˚)")</f>
        <v>   CM=0.00 SEC(135˚)</v>
      </c>
      <c r="B228" s="36"/>
      <c r="C228" s="36"/>
      <c r="D228" s="36"/>
      <c r="E228" s="36"/>
      <c r="F228" s="47"/>
      <c r="K228" s="10" t="str">
        <f>SUBSTITUTE(SUBSTITUTE("   CM = 18_x001D_SEC(135˚)_x001D_","18",TEXT($AB228,"#,##0"),1),"_x001D_","'")</f>
        <v>   CM = 0'SEC(135˚)'</v>
      </c>
      <c r="AA228" s="40"/>
      <c r="AB228" s="6"/>
      <c r="AC228" s="40"/>
      <c r="AD228" s="7"/>
    </row>
    <row r="229" spans="1:11" ht="18" customHeight="1">
      <c r="A229" s="42" t="s">
        <v>1297</v>
      </c>
      <c r="B229" s="36"/>
      <c r="C229" s="36"/>
      <c r="D229" s="36"/>
      <c r="E229" s="36"/>
      <c r="F229" s="47"/>
      <c r="K229" s="3" t="s">
        <v>1297</v>
      </c>
    </row>
    <row r="230" spans="1:11" ht="18" customHeight="1">
      <c r="A230" s="42" t="s">
        <v>1297</v>
      </c>
      <c r="B230" s="36"/>
      <c r="C230" s="36"/>
      <c r="D230" s="36"/>
      <c r="E230" s="36"/>
      <c r="F230" s="47"/>
      <c r="K230" s="3" t="s">
        <v>1297</v>
      </c>
    </row>
    <row r="231" spans="1:11" ht="18" customHeight="1">
      <c r="A231" s="42" t="s">
        <v>331</v>
      </c>
      <c r="B231" s="36"/>
      <c r="C231" s="36"/>
      <c r="D231" s="36"/>
      <c r="E231" s="36"/>
      <c r="F231" s="47"/>
      <c r="K231" s="3" t="s">
        <v>331</v>
      </c>
    </row>
    <row r="232" spans="1:11" ht="18" customHeight="1">
      <c r="A232" s="42" t="s">
        <v>530</v>
      </c>
      <c r="B232" s="36"/>
      <c r="C232" s="36"/>
      <c r="D232" s="36"/>
      <c r="E232" s="36"/>
      <c r="F232" s="47"/>
      <c r="K232" s="3" t="s">
        <v>530</v>
      </c>
    </row>
    <row r="233" spans="1:11" ht="18" customHeight="1">
      <c r="A233" s="42" t="s">
        <v>1297</v>
      </c>
      <c r="B233" s="36"/>
      <c r="C233" s="36"/>
      <c r="D233" s="36"/>
      <c r="E233" s="36"/>
      <c r="F233" s="47"/>
      <c r="K233" s="3" t="s">
        <v>1297</v>
      </c>
    </row>
    <row r="234" spans="1:11" ht="18" customHeight="1">
      <c r="A234" s="42" t="s">
        <v>479</v>
      </c>
      <c r="B234" s="36"/>
      <c r="C234" s="36"/>
      <c r="D234" s="36"/>
      <c r="E234" s="36"/>
      <c r="F234" s="47"/>
      <c r="K234" s="3" t="s">
        <v>479</v>
      </c>
    </row>
    <row r="235" spans="1:11" ht="18" customHeight="1">
      <c r="A235" s="42" t="s">
        <v>1297</v>
      </c>
      <c r="B235" s="36"/>
      <c r="C235" s="36"/>
      <c r="D235" s="36"/>
      <c r="E235" s="36"/>
      <c r="F235" s="47"/>
      <c r="K235" s="3" t="s">
        <v>1297</v>
      </c>
    </row>
    <row r="236" spans="1:34" ht="18" customHeight="1">
      <c r="A236" s="44" t="str">
        <f>CONCATENATE("           L1=",TEXT($AB236,"#,##0.0")," KM ,           L2=",TEXT($AF236,"#,##0.00")," KM")</f>
        <v>           L1=0.0 KM ,           L2=0.00 KM</v>
      </c>
      <c r="B236" s="36"/>
      <c r="C236" s="36"/>
      <c r="D236" s="36"/>
      <c r="E236" s="36"/>
      <c r="F236" s="47"/>
      <c r="K236" s="10" t="str">
        <f>SUBSTITUTE(SUBSTITUTE(SUBSTITUTE("           L1=0.1_x001D_KM_x001D_,           L2=9.90_x001D_KM_x001D_","0.1",TEXT($AB236,"#,##0.0"),1),"9.90",TEXT($AF236,"#,##0.00"),1),"_x001D_","'")</f>
        <v>           L1=0.0'KM',           L2=0.00'KM'</v>
      </c>
      <c r="AA236" s="40"/>
      <c r="AB236" s="6"/>
      <c r="AC236" s="40"/>
      <c r="AD236" s="7"/>
      <c r="AE236" s="40"/>
      <c r="AF236" s="6"/>
      <c r="AG236" s="40"/>
      <c r="AH236" s="7"/>
    </row>
    <row r="237" spans="1:11" ht="18" customHeight="1">
      <c r="A237" s="42" t="s">
        <v>1155</v>
      </c>
      <c r="B237" s="36"/>
      <c r="C237" s="36"/>
      <c r="D237" s="36"/>
      <c r="E237" s="36"/>
      <c r="F237" s="47"/>
      <c r="K237" s="3" t="s">
        <v>1155</v>
      </c>
    </row>
    <row r="238" spans="1:11" ht="18" customHeight="1">
      <c r="A238" s="42" t="s">
        <v>842</v>
      </c>
      <c r="B238" s="36"/>
      <c r="C238" s="36"/>
      <c r="D238" s="36"/>
      <c r="E238" s="36"/>
      <c r="F238" s="47"/>
      <c r="K238" s="3" t="s">
        <v>341</v>
      </c>
    </row>
    <row r="239" spans="1:11" ht="18" customHeight="1">
      <c r="A239" s="42" t="s">
        <v>1297</v>
      </c>
      <c r="B239" s="36"/>
      <c r="C239" s="36"/>
      <c r="D239" s="36"/>
      <c r="E239" s="36"/>
      <c r="F239" s="47"/>
      <c r="K239" s="3" t="s">
        <v>1297</v>
      </c>
    </row>
    <row r="240" spans="1:38" ht="18" customHeight="1">
      <c r="A240" s="44" t="str">
        <f>CONCATENATE("   E=",TEXT($AB240,"#,##0.0")," , F = 1 / 1.25 = ",TEXT($AJ240,"#,##0.00"))</f>
        <v>   E=0.0 , F = 1 / 1.25 = 0.00</v>
      </c>
      <c r="B240" s="36">
        <f>SUM($C240,$D240,$E240)</f>
        <v>0</v>
      </c>
      <c r="C240" s="36"/>
      <c r="D240" s="36"/>
      <c r="E240" s="36"/>
      <c r="F240" s="47"/>
      <c r="K240" s="10" t="str">
        <f>SUBSTITUTE(SUBSTITUTE("   E = 0.9 , F = 1 / 1.25 = ?","0.9",TEXT($AB240,"#,##0.0"),1),"_x001D_","'")</f>
        <v>   E = 0.0 , F = 1 / 1.25 = ?</v>
      </c>
      <c r="AA240" s="40"/>
      <c r="AB240" s="6"/>
      <c r="AC240" s="40"/>
      <c r="AD240" s="7"/>
      <c r="AE240" s="40"/>
      <c r="AF240" s="8"/>
      <c r="AG240" s="40"/>
      <c r="AH240" s="7"/>
      <c r="AI240" s="40"/>
      <c r="AJ240" s="8"/>
      <c r="AK240" s="40"/>
      <c r="AL240" s="7"/>
    </row>
    <row r="241" spans="1:11" ht="18" customHeight="1">
      <c r="A241" s="42" t="s">
        <v>1297</v>
      </c>
      <c r="B241" s="36"/>
      <c r="C241" s="36"/>
      <c r="D241" s="36"/>
      <c r="E241" s="36"/>
      <c r="F241" s="47"/>
      <c r="K241" s="3" t="s">
        <v>1297</v>
      </c>
    </row>
    <row r="242" spans="1:34" ht="18" customHeight="1">
      <c r="A242" s="44" t="str">
        <f>CONCATENATE("   q1 = 4.5 / 1.6 * 1.25 = ",TEXT($AF242,"#,##0.00"))</f>
        <v>   q1 = 4.5 / 1.6 * 1.25 = 0.00</v>
      </c>
      <c r="B242" s="36">
        <f>SUM($C242,$D242,$E242)</f>
        <v>0</v>
      </c>
      <c r="C242" s="36"/>
      <c r="D242" s="36"/>
      <c r="E242" s="36"/>
      <c r="F242" s="47"/>
      <c r="K242" s="3" t="s">
        <v>697</v>
      </c>
      <c r="AA242" s="40"/>
      <c r="AB242" s="8"/>
      <c r="AC242" s="40"/>
      <c r="AD242" s="7"/>
      <c r="AE242" s="40"/>
      <c r="AF242" s="8"/>
      <c r="AG242" s="40"/>
      <c r="AH242" s="7"/>
    </row>
    <row r="243" spans="1:11" ht="18" customHeight="1">
      <c r="A243" s="42" t="s">
        <v>1297</v>
      </c>
      <c r="B243" s="36"/>
      <c r="C243" s="36"/>
      <c r="D243" s="36"/>
      <c r="E243" s="36"/>
      <c r="F243" s="47"/>
      <c r="K243" s="3" t="s">
        <v>1297</v>
      </c>
    </row>
    <row r="244" spans="1:42" ht="18" customHeight="1">
      <c r="A244" s="44" t="str">
        <f>CONCATENATE("   N  = ",TEXT($AB244,"#,##0.00")," / (0.2 * ",TEXT($AF244,"#,##0.00"),") = ",TEXT($AN244,"#,##0.00"))</f>
        <v>   N  = 0.00 / (0.2 * 0.00) = 0.00</v>
      </c>
      <c r="B244" s="36">
        <f>SUM($C244,$D244,$E244)</f>
        <v>0</v>
      </c>
      <c r="C244" s="36"/>
      <c r="D244" s="36"/>
      <c r="E244" s="36"/>
      <c r="F244" s="47"/>
      <c r="K244" s="3" t="s">
        <v>666</v>
      </c>
      <c r="AA244" s="40"/>
      <c r="AB244" s="8"/>
      <c r="AC244" s="40"/>
      <c r="AD244" s="7"/>
      <c r="AE244" s="40"/>
      <c r="AF244" s="8"/>
      <c r="AG244" s="40"/>
      <c r="AH244" s="7"/>
      <c r="AI244" s="40"/>
      <c r="AJ244" s="8"/>
      <c r="AK244" s="40"/>
      <c r="AL244" s="7"/>
      <c r="AM244" s="40"/>
      <c r="AN244" s="8"/>
      <c r="AO244" s="40"/>
      <c r="AP244" s="7"/>
    </row>
    <row r="245" spans="1:11" ht="18" customHeight="1">
      <c r="A245" s="42" t="s">
        <v>1297</v>
      </c>
      <c r="B245" s="36"/>
      <c r="C245" s="36"/>
      <c r="D245" s="36"/>
      <c r="E245" s="36"/>
      <c r="F245" s="47"/>
      <c r="K245" s="3" t="s">
        <v>1297</v>
      </c>
    </row>
    <row r="246" spans="1:46" ht="18" customHeight="1">
      <c r="A246" s="44" t="e">
        <f>CONCATENATE("   t1 = (",TEXT($AB246,"#,##0.00")," * ",TEXT($AF246,"#,##0.00"),") / (60 * ",TEXT($AJ246,"#,##0.00"),") = ",TEXT($AR246,"#,##0.00")," MIN ")</f>
        <v>#DIV/0!</v>
      </c>
      <c r="B246" s="36">
        <f>SUM($C246,$D246,$E246)</f>
        <v>0</v>
      </c>
      <c r="C246" s="36"/>
      <c r="D246" s="36"/>
      <c r="E246" s="36"/>
      <c r="F246" s="47"/>
      <c r="K246" s="3" t="s">
        <v>1218</v>
      </c>
      <c r="AA246" s="40"/>
      <c r="AB246" s="8"/>
      <c r="AC246" s="40"/>
      <c r="AD246" s="7"/>
      <c r="AE246" s="40"/>
      <c r="AF246" s="8"/>
      <c r="AG246" s="40"/>
      <c r="AH246" s="7"/>
      <c r="AI246" s="40"/>
      <c r="AJ246" s="8"/>
      <c r="AK246" s="40"/>
      <c r="AL246" s="7"/>
      <c r="AM246" s="40"/>
      <c r="AN246" s="8"/>
      <c r="AO246" s="40"/>
      <c r="AP246" s="7"/>
      <c r="AQ246" s="40"/>
      <c r="AR246" s="8" t="e">
        <f>ROUND(ROUND(($AD246*$AH246)/(60*$AL246),2),2)</f>
        <v>#DIV/0!</v>
      </c>
      <c r="AS246" s="40" t="s">
        <v>649</v>
      </c>
      <c r="AT246" s="7" t="e">
        <f>$AR246</f>
        <v>#DIV/0!</v>
      </c>
    </row>
    <row r="247" spans="1:11" ht="18" customHeight="1">
      <c r="A247" s="42" t="s">
        <v>1297</v>
      </c>
      <c r="B247" s="36"/>
      <c r="C247" s="36"/>
      <c r="D247" s="36"/>
      <c r="E247" s="36"/>
      <c r="F247" s="47"/>
      <c r="K247" s="3" t="s">
        <v>1297</v>
      </c>
    </row>
    <row r="248" spans="1:50" ht="18" customHeight="1">
      <c r="A248" s="44" t="str">
        <f>CONCATENATE("   t2 = ((",TEXT($AB248,"#,##0.00"),"/10) + (",TEXT($AF248,"#,##0.00"),"/15) + (",TEXT($AJ248,"#,##0.00"),"/30) + (",TEXT($AN248,"#,##0.00"),"/35)) * 60 = ",TEXT($AV248,"#,##0.00")," min ")</f>
        <v>   t2 = ((0.00/10) + (0.00/15) + (0.00/30) + (0.00/35)) * 60 = 0.00 min </v>
      </c>
      <c r="B248" s="36">
        <f>SUM($C248,$D248,$E248)</f>
        <v>0</v>
      </c>
      <c r="C248" s="36"/>
      <c r="D248" s="36"/>
      <c r="E248" s="36"/>
      <c r="F248" s="47"/>
      <c r="K248" s="3" t="s">
        <v>340</v>
      </c>
      <c r="AA248" s="40"/>
      <c r="AB248" s="8"/>
      <c r="AC248" s="40"/>
      <c r="AD248" s="7"/>
      <c r="AE248" s="40"/>
      <c r="AF248" s="8"/>
      <c r="AG248" s="40"/>
      <c r="AH248" s="7"/>
      <c r="AI248" s="40"/>
      <c r="AJ248" s="8"/>
      <c r="AK248" s="40"/>
      <c r="AL248" s="7"/>
      <c r="AM248" s="40"/>
      <c r="AN248" s="8"/>
      <c r="AO248" s="40"/>
      <c r="AP248" s="7"/>
      <c r="AQ248" s="40"/>
      <c r="AR248" s="8">
        <f>ROUND((($AD248/10)+($AH248/15)+($AL248/30)+($AP248/35))*60,2)</f>
        <v>0</v>
      </c>
      <c r="AS248" s="40" t="s">
        <v>418</v>
      </c>
      <c r="AT248" s="7">
        <f>$AR248</f>
        <v>0</v>
      </c>
      <c r="AU248" s="40" t="s">
        <v>911</v>
      </c>
      <c r="AV248" s="8">
        <f>ROUND(ROUND((($AD248/10)+($AH248/15)+($AL248/30)+($AP248/35))*60,2),2)</f>
        <v>0</v>
      </c>
      <c r="AW248" s="40" t="s">
        <v>1055</v>
      </c>
      <c r="AX248" s="7">
        <f>$AV248</f>
        <v>0</v>
      </c>
    </row>
    <row r="249" spans="1:11" ht="18" customHeight="1">
      <c r="A249" s="42" t="s">
        <v>1297</v>
      </c>
      <c r="B249" s="36"/>
      <c r="C249" s="36"/>
      <c r="D249" s="36"/>
      <c r="E249" s="36"/>
      <c r="F249" s="47"/>
      <c r="K249" s="3" t="s">
        <v>1297</v>
      </c>
    </row>
    <row r="250" spans="1:38" ht="18" customHeight="1">
      <c r="A250" s="44" t="str">
        <f>CONCATENATE("   t3=",TEXT($AB250,"#,##0.0")," , t4=",TEXT($AF250,"#,##0.00"),", t5=",TEXT($AJ250,"#,##0.00"))</f>
        <v>   t3=0.0 , t4=0.00, t5=0.00</v>
      </c>
      <c r="B250" s="36"/>
      <c r="C250" s="36"/>
      <c r="D250" s="36"/>
      <c r="E250" s="36"/>
      <c r="F250" s="47"/>
      <c r="K250" s="10" t="str">
        <f>SUBSTITUTE(SUBSTITUTE(SUBSTITUTE(SUBSTITUTE("   t3 = 0.8 , t4 = 0.42, t5 = 0.50","0.8",TEXT($AB250,"#,##0.0"),1),"0.42",TEXT($AF250,"#,##0.00"),1),"0.50",TEXT($AJ250,"#,##0.00"),1),"_x001D_","'")</f>
        <v>   t3 = 0.0 , t4 = 0.00, t5 = 0.00</v>
      </c>
      <c r="AA250" s="40"/>
      <c r="AB250" s="6"/>
      <c r="AC250" s="40"/>
      <c r="AD250" s="7"/>
      <c r="AE250" s="40"/>
      <c r="AF250" s="6"/>
      <c r="AG250" s="40"/>
      <c r="AH250" s="7"/>
      <c r="AI250" s="40"/>
      <c r="AJ250" s="6"/>
      <c r="AK250" s="40"/>
      <c r="AL250" s="7"/>
    </row>
    <row r="251" spans="1:11" ht="18" customHeight="1">
      <c r="A251" s="42" t="s">
        <v>1297</v>
      </c>
      <c r="B251" s="36"/>
      <c r="C251" s="36"/>
      <c r="D251" s="36"/>
      <c r="E251" s="36"/>
      <c r="F251" s="47"/>
      <c r="K251" s="3" t="s">
        <v>1297</v>
      </c>
    </row>
    <row r="252" spans="1:54" ht="18" customHeight="1">
      <c r="A252" s="44" t="str">
        <f>CONCATENATE("   cm = ",TEXT($AB252,"#,##0.00"),"+",TEXT($AF252,"#,##0.00"),"+",TEXT($AJ252,"#,##0.00"),"+",TEXT($AN252,"#,##0.00"),"+",TEXT($AR252,"#,##0.00"),"= ",TEXT($AZ252,"#,##0.00"))</f>
        <v>   cm = 0.00+0.00+0.00+0.00+0.00= 0.00</v>
      </c>
      <c r="B252" s="36">
        <f>SUM($C252,$D252,$E252)</f>
        <v>0</v>
      </c>
      <c r="C252" s="36"/>
      <c r="D252" s="36"/>
      <c r="E252" s="36"/>
      <c r="F252" s="47"/>
      <c r="K252" s="3" t="s">
        <v>413</v>
      </c>
      <c r="AA252" s="40"/>
      <c r="AB252" s="8"/>
      <c r="AC252" s="40"/>
      <c r="AD252" s="7"/>
      <c r="AE252" s="40"/>
      <c r="AF252" s="8"/>
      <c r="AG252" s="40"/>
      <c r="AH252" s="7"/>
      <c r="AI252" s="40"/>
      <c r="AJ252" s="8"/>
      <c r="AK252" s="40"/>
      <c r="AL252" s="7"/>
      <c r="AM252" s="40"/>
      <c r="AN252" s="8"/>
      <c r="AO252" s="40"/>
      <c r="AP252" s="7"/>
      <c r="AQ252" s="40"/>
      <c r="AR252" s="8">
        <f>$AL250</f>
        <v>0</v>
      </c>
      <c r="AS252" s="40" t="s">
        <v>441</v>
      </c>
      <c r="AT252" s="7">
        <f>$AR252</f>
        <v>0</v>
      </c>
      <c r="AU252" s="40" t="s">
        <v>1033</v>
      </c>
      <c r="AV252" s="8">
        <f>ROUND($AD252+$AH252+$AL252+$AP252+$AT252,2)</f>
        <v>0</v>
      </c>
      <c r="AW252" s="40" t="s">
        <v>68</v>
      </c>
      <c r="AX252" s="7">
        <f>$AV252</f>
        <v>0</v>
      </c>
      <c r="AY252" s="40" t="s">
        <v>989</v>
      </c>
      <c r="AZ252" s="8">
        <f>ROUND(ROUND($AD252+$AH252+$AL252+$AP252+$AT252,2),2)</f>
        <v>0</v>
      </c>
      <c r="BA252" s="40" t="s">
        <v>907</v>
      </c>
      <c r="BB252" s="7">
        <f>$AZ252</f>
        <v>0</v>
      </c>
    </row>
    <row r="253" spans="1:11" ht="18" customHeight="1">
      <c r="A253" s="42" t="s">
        <v>1297</v>
      </c>
      <c r="B253" s="36"/>
      <c r="C253" s="36"/>
      <c r="D253" s="36"/>
      <c r="E253" s="36"/>
      <c r="F253" s="47"/>
      <c r="K253" s="3" t="s">
        <v>1297</v>
      </c>
    </row>
    <row r="254" spans="1:50" ht="18" customHeight="1">
      <c r="A254" s="44" t="e">
        <f>CONCATENATE("   Q  = (60 * ",TEXT($AB254,"#,##0.00")," * ",TEXT($AF254,"#,##0.00")," * ",TEXT($AJ254,"#,##0.00"),") / ",TEXT($AN254,"#,##0.00")," = ",TEXT($AV254,"#,##0.00")," M3/HR ")</f>
        <v>#DIV/0!</v>
      </c>
      <c r="B254" s="36">
        <f>SUM($C254,$D254,$E254)</f>
        <v>0</v>
      </c>
      <c r="C254" s="36"/>
      <c r="D254" s="36"/>
      <c r="E254" s="36"/>
      <c r="F254" s="47"/>
      <c r="K254" s="3" t="s">
        <v>34</v>
      </c>
      <c r="AA254" s="40"/>
      <c r="AB254" s="8"/>
      <c r="AC254" s="40"/>
      <c r="AD254" s="7"/>
      <c r="AE254" s="40"/>
      <c r="AF254" s="8"/>
      <c r="AG254" s="40"/>
      <c r="AH254" s="7"/>
      <c r="AI254" s="40"/>
      <c r="AJ254" s="8"/>
      <c r="AK254" s="40"/>
      <c r="AL254" s="7"/>
      <c r="AM254" s="40"/>
      <c r="AN254" s="8"/>
      <c r="AO254" s="40"/>
      <c r="AP254" s="7"/>
      <c r="AQ254" s="40"/>
      <c r="AR254" s="8" t="e">
        <f>ROUND((60*$AD254*$AH254*$AL254)/$AP254,2)</f>
        <v>#DIV/0!</v>
      </c>
      <c r="AS254" s="40" t="s">
        <v>893</v>
      </c>
      <c r="AT254" s="7" t="e">
        <f>$AR254</f>
        <v>#DIV/0!</v>
      </c>
      <c r="AU254" s="40" t="s">
        <v>792</v>
      </c>
      <c r="AV254" s="8" t="e">
        <f>ROUND(ROUND((60*$AD254*$AH254*$AL254)/$AP254,2),2)</f>
        <v>#DIV/0!</v>
      </c>
      <c r="AW254" s="40" t="s">
        <v>1130</v>
      </c>
      <c r="AX254" s="7" t="e">
        <f>$AV254</f>
        <v>#DIV/0!</v>
      </c>
    </row>
    <row r="255" spans="1:11" ht="18" customHeight="1">
      <c r="A255" s="42" t="s">
        <v>1297</v>
      </c>
      <c r="B255" s="36"/>
      <c r="C255" s="36"/>
      <c r="D255" s="36"/>
      <c r="E255" s="36"/>
      <c r="F255" s="47"/>
      <c r="K255" s="3" t="s">
        <v>1297</v>
      </c>
    </row>
    <row r="256" spans="1:34" ht="18" customHeight="1">
      <c r="A256" s="44" t="str">
        <f>CONCATENATE("    재 료 비 :  _x001D_11,523_x001D_ / ",TEXT($AB256,"#,##0.00")," = ",TEXT($AF256,"#,##0.00"))</f>
        <v>    재 료 비 :  _x001D_11,523_x001D_ / 0.00 = 0.00</v>
      </c>
      <c r="B256" s="36">
        <f>SUM($C256,$D256,$E256)</f>
        <v>0</v>
      </c>
      <c r="C256" s="36">
        <f>$AF256</f>
        <v>0</v>
      </c>
      <c r="D256" s="36"/>
      <c r="E256" s="36"/>
      <c r="F256" s="47" t="s">
        <v>1297</v>
      </c>
      <c r="K256" s="3" t="s">
        <v>630</v>
      </c>
      <c r="AA256" s="40"/>
      <c r="AB256" s="8"/>
      <c r="AC256" s="40"/>
      <c r="AD256" s="7"/>
      <c r="AE256" s="41"/>
      <c r="AF256" s="8"/>
      <c r="AG256" s="41"/>
      <c r="AH256" s="7"/>
    </row>
    <row r="257" spans="1:11" ht="18" customHeight="1">
      <c r="A257" s="42" t="s">
        <v>1297</v>
      </c>
      <c r="B257" s="36"/>
      <c r="C257" s="36"/>
      <c r="D257" s="36"/>
      <c r="E257" s="36"/>
      <c r="F257" s="47"/>
      <c r="K257" s="3" t="s">
        <v>1297</v>
      </c>
    </row>
    <row r="258" spans="1:34" ht="18" customHeight="1">
      <c r="A258" s="44" t="str">
        <f>CONCATENATE("    노 무 비 :  _x001D_39,645_x001D_ / ",TEXT($AB258,"#,##0.00")," = ",TEXT($AF258,"#,##0.00"))</f>
        <v>    노 무 비 :  _x001D_39,645_x001D_ / 0.00 = 0.00</v>
      </c>
      <c r="B258" s="36">
        <f>SUM($C258,$D258,$E258)</f>
        <v>0</v>
      </c>
      <c r="C258" s="36"/>
      <c r="D258" s="36">
        <f>$AF258</f>
        <v>0</v>
      </c>
      <c r="E258" s="36"/>
      <c r="F258" s="47" t="s">
        <v>1297</v>
      </c>
      <c r="K258" s="3" t="s">
        <v>1292</v>
      </c>
      <c r="AA258" s="40"/>
      <c r="AB258" s="8"/>
      <c r="AC258" s="40"/>
      <c r="AD258" s="7"/>
      <c r="AE258" s="41"/>
      <c r="AF258" s="8"/>
      <c r="AG258" s="41"/>
      <c r="AH258" s="7"/>
    </row>
    <row r="259" spans="1:11" ht="18" customHeight="1">
      <c r="A259" s="42" t="s">
        <v>1297</v>
      </c>
      <c r="B259" s="36"/>
      <c r="C259" s="36"/>
      <c r="D259" s="36"/>
      <c r="E259" s="36"/>
      <c r="F259" s="47"/>
      <c r="K259" s="3" t="s">
        <v>1297</v>
      </c>
    </row>
    <row r="260" spans="1:34" ht="18" customHeight="1">
      <c r="A260" s="44" t="str">
        <f>CONCATENATE("    경    비 :  _x001D_6,963_x001D_ / ",TEXT($AB260,"#,##0.00")," = ",TEXT($AF260,"#,##0.00"))</f>
        <v>    경    비 :  _x001D_6,963_x001D_ / 0.00 = 0.00</v>
      </c>
      <c r="B260" s="36">
        <f>SUM($C260,$D260,$E260)</f>
        <v>0</v>
      </c>
      <c r="C260" s="36"/>
      <c r="D260" s="36"/>
      <c r="E260" s="36">
        <f>$AF260</f>
        <v>0</v>
      </c>
      <c r="F260" s="47" t="s">
        <v>1297</v>
      </c>
      <c r="K260" s="3" t="s">
        <v>631</v>
      </c>
      <c r="AA260" s="40"/>
      <c r="AB260" s="8"/>
      <c r="AC260" s="40"/>
      <c r="AD260" s="7"/>
      <c r="AE260" s="41"/>
      <c r="AF260" s="8"/>
      <c r="AG260" s="41"/>
      <c r="AH260" s="7"/>
    </row>
    <row r="261" spans="1:11" ht="18" customHeight="1">
      <c r="A261" s="42" t="s">
        <v>1297</v>
      </c>
      <c r="B261" s="36"/>
      <c r="C261" s="36"/>
      <c r="D261" s="36"/>
      <c r="E261" s="36"/>
      <c r="F261" s="47"/>
      <c r="K261" s="3" t="s">
        <v>1297</v>
      </c>
    </row>
    <row r="262" spans="1:11" ht="18" customHeight="1">
      <c r="A262" s="42" t="s">
        <v>402</v>
      </c>
      <c r="B262" s="36"/>
      <c r="C262" s="36"/>
      <c r="D262" s="36"/>
      <c r="E262" s="36"/>
      <c r="F262" s="47"/>
      <c r="K262" s="3" t="s">
        <v>402</v>
      </c>
    </row>
    <row r="263" spans="1:11" ht="18" customHeight="1">
      <c r="A263" s="42" t="s">
        <v>1297</v>
      </c>
      <c r="B263" s="36"/>
      <c r="C263" s="36"/>
      <c r="D263" s="36"/>
      <c r="E263" s="36"/>
      <c r="F263" s="47"/>
      <c r="K263" s="3" t="s">
        <v>1297</v>
      </c>
    </row>
    <row r="264" spans="1:34" ht="18" customHeight="1">
      <c r="A264" s="44" t="str">
        <f>CONCATENATE("    자동덮개 :  _x001D_6,963_x001D_ / ",TEXT($AB264,"#,##0.00")," =",TEXT($AF264,"#,##0.00"))</f>
        <v>    자동덮개 :  _x001D_6,963_x001D_ / 0.00 =0.00</v>
      </c>
      <c r="B264" s="36">
        <f>SUM($C264,$D264,$E264)</f>
        <v>0</v>
      </c>
      <c r="C264" s="36"/>
      <c r="D264" s="36"/>
      <c r="E264" s="36">
        <f>$AF264</f>
        <v>0</v>
      </c>
      <c r="F264" s="47" t="s">
        <v>1297</v>
      </c>
      <c r="K264" s="3" t="s">
        <v>197</v>
      </c>
      <c r="AA264" s="40"/>
      <c r="AB264" s="8"/>
      <c r="AC264" s="40"/>
      <c r="AD264" s="7"/>
      <c r="AE264" s="41"/>
      <c r="AF264" s="8"/>
      <c r="AG264" s="41"/>
      <c r="AH264" s="7"/>
    </row>
    <row r="265" spans="1:11" ht="18" customHeight="1">
      <c r="A265" s="42" t="s">
        <v>1297</v>
      </c>
      <c r="B265" s="36"/>
      <c r="C265" s="36"/>
      <c r="D265" s="36"/>
      <c r="E265" s="36"/>
      <c r="F265" s="47"/>
      <c r="K265" s="3" t="s">
        <v>1297</v>
      </c>
    </row>
    <row r="266" spans="1:32" ht="18" customHeight="1">
      <c r="A266" s="42" t="s">
        <v>15</v>
      </c>
      <c r="B266" s="37">
        <f>SUM($C266,$D266,$E266)</f>
        <v>0</v>
      </c>
      <c r="C266" s="37">
        <f>$AB266</f>
        <v>0</v>
      </c>
      <c r="D266" s="37">
        <f>$AD266</f>
        <v>0</v>
      </c>
      <c r="E266" s="37">
        <f>$AF266</f>
        <v>0</v>
      </c>
      <c r="F266" s="48"/>
      <c r="K266" s="3" t="s">
        <v>741</v>
      </c>
      <c r="AA266" s="40"/>
      <c r="AB266" s="7"/>
      <c r="AC266" s="40"/>
      <c r="AD266" s="7"/>
      <c r="AE266" s="40"/>
      <c r="AF266" s="7"/>
    </row>
    <row r="267" spans="1:11" ht="18" customHeight="1">
      <c r="A267" s="42" t="s">
        <v>1297</v>
      </c>
      <c r="B267" s="36"/>
      <c r="C267" s="36"/>
      <c r="D267" s="36"/>
      <c r="E267" s="36"/>
      <c r="F267" s="47"/>
      <c r="K267" s="3" t="s">
        <v>1297</v>
      </c>
    </row>
    <row r="268" spans="1:11" ht="18" customHeight="1">
      <c r="A268" s="42" t="s">
        <v>1297</v>
      </c>
      <c r="B268" s="36"/>
      <c r="C268" s="36"/>
      <c r="D268" s="36"/>
      <c r="E268" s="36"/>
      <c r="F268" s="47"/>
      <c r="K268" s="3" t="s">
        <v>1297</v>
      </c>
    </row>
    <row r="269" spans="1:32" ht="18" customHeight="1">
      <c r="A269" s="42" t="s">
        <v>1133</v>
      </c>
      <c r="B269" s="38">
        <f>SUM($C269,$D269,$E269)</f>
        <v>0</v>
      </c>
      <c r="C269" s="38">
        <f>$AB269</f>
        <v>0</v>
      </c>
      <c r="D269" s="38">
        <f>$AD269</f>
        <v>0</v>
      </c>
      <c r="E269" s="38">
        <f>$AF269</f>
        <v>0</v>
      </c>
      <c r="F269" s="49"/>
      <c r="K269" s="3" t="s">
        <v>1013</v>
      </c>
      <c r="AA269" s="40"/>
      <c r="AB269" s="7"/>
      <c r="AC269" s="40"/>
      <c r="AD269" s="7"/>
      <c r="AE269" s="40"/>
      <c r="AF269" s="7"/>
    </row>
    <row r="270" spans="1:6" ht="18" customHeight="1">
      <c r="A270" s="42"/>
      <c r="B270" s="3"/>
      <c r="C270" s="3"/>
      <c r="D270" s="3"/>
      <c r="E270" s="3"/>
      <c r="F270" s="46"/>
    </row>
    <row r="271" spans="1:6" ht="18" customHeight="1">
      <c r="A271" s="45" t="s">
        <v>726</v>
      </c>
      <c r="B271" s="39">
        <f>SUM($C271,$D271,$E271)</f>
        <v>0</v>
      </c>
      <c r="C271" s="39">
        <f>TRUNC(SUM($AH256),0)</f>
        <v>0</v>
      </c>
      <c r="D271" s="39">
        <f>TRUNC(SUM($AH258),0)</f>
        <v>0</v>
      </c>
      <c r="E271" s="39">
        <f>TRUNC(SUM($AH264),0)</f>
        <v>0</v>
      </c>
      <c r="F271" s="50"/>
    </row>
    <row r="272" spans="1:6" ht="18" customHeight="1">
      <c r="A272" s="42"/>
      <c r="B272" s="3"/>
      <c r="C272" s="3"/>
      <c r="D272" s="3"/>
      <c r="E272" s="3"/>
      <c r="F272" s="46"/>
    </row>
    <row r="273" spans="1:26" ht="18" customHeight="1">
      <c r="A273" s="42" t="s">
        <v>483</v>
      </c>
      <c r="B273" s="36">
        <f>$B337</f>
        <v>0</v>
      </c>
      <c r="C273" s="36">
        <f>$C337</f>
        <v>0</v>
      </c>
      <c r="D273" s="36">
        <f>$D337</f>
        <v>0</v>
      </c>
      <c r="E273" s="36">
        <f>$E337</f>
        <v>0</v>
      </c>
      <c r="F273" s="46" t="s">
        <v>1297</v>
      </c>
      <c r="H273" t="s">
        <v>1131</v>
      </c>
      <c r="K273">
        <v>1</v>
      </c>
      <c r="Y273" s="7" t="b">
        <f>EXACT($Z273,$B337)</f>
        <v>0</v>
      </c>
      <c r="Z273" s="39"/>
    </row>
    <row r="274" spans="1:6" ht="18" customHeight="1">
      <c r="A274" s="43"/>
      <c r="B274" s="3"/>
      <c r="C274" s="3"/>
      <c r="D274" s="3"/>
      <c r="E274" s="3"/>
      <c r="F274" s="46"/>
    </row>
    <row r="275" spans="1:11" ht="18" customHeight="1">
      <c r="A275" s="42" t="s">
        <v>1297</v>
      </c>
      <c r="B275" s="3"/>
      <c r="C275" s="3"/>
      <c r="D275" s="3"/>
      <c r="E275" s="3"/>
      <c r="F275" s="46"/>
      <c r="I275" t="s">
        <v>166</v>
      </c>
      <c r="K275" t="s">
        <v>1083</v>
      </c>
    </row>
    <row r="276" spans="1:11" ht="18" customHeight="1">
      <c r="A276" s="42" t="s">
        <v>839</v>
      </c>
      <c r="B276" s="36"/>
      <c r="C276" s="36"/>
      <c r="D276" s="36"/>
      <c r="E276" s="36"/>
      <c r="F276" s="47"/>
      <c r="K276" s="3" t="s">
        <v>839</v>
      </c>
    </row>
    <row r="277" spans="1:11" ht="18" customHeight="1">
      <c r="A277" s="42" t="s">
        <v>1297</v>
      </c>
      <c r="B277" s="36"/>
      <c r="C277" s="36"/>
      <c r="D277" s="36"/>
      <c r="E277" s="36"/>
      <c r="F277" s="47"/>
      <c r="K277" s="3" t="s">
        <v>1297</v>
      </c>
    </row>
    <row r="278" spans="1:11" ht="18" customHeight="1">
      <c r="A278" s="42" t="s">
        <v>498</v>
      </c>
      <c r="B278" s="36"/>
      <c r="C278" s="36"/>
      <c r="D278" s="36"/>
      <c r="E278" s="36"/>
      <c r="F278" s="47"/>
      <c r="K278" s="3" t="s">
        <v>498</v>
      </c>
    </row>
    <row r="279" spans="1:30" ht="18" customHeight="1">
      <c r="A279" s="42" t="s">
        <v>1297</v>
      </c>
      <c r="B279" s="36"/>
      <c r="C279" s="36"/>
      <c r="D279" s="36"/>
      <c r="E279" s="36"/>
      <c r="F279" s="47"/>
      <c r="K279" s="3" t="s">
        <v>1227</v>
      </c>
      <c r="AA279" s="40"/>
      <c r="AB279" s="6"/>
      <c r="AC279" s="40"/>
      <c r="AD279" s="7"/>
    </row>
    <row r="280" spans="1:11" ht="18" customHeight="1">
      <c r="A280" s="42" t="s">
        <v>1297</v>
      </c>
      <c r="B280" s="36"/>
      <c r="C280" s="36"/>
      <c r="D280" s="36"/>
      <c r="E280" s="36"/>
      <c r="F280" s="47"/>
      <c r="K280" s="3" t="s">
        <v>1297</v>
      </c>
    </row>
    <row r="281" spans="1:42" ht="18" customHeight="1">
      <c r="A281" s="44" t="str">
        <f>CONCATENATE("  q=",TEXT($AB281,"#,##0.0"),",  f= 0.9/1.15=",TEXT($AJ281,"#,##0.00"),",   E=",TEXT($AN281,"#,##0.00"))</f>
        <v>  q=0.0,  f= 0.9/1.15=0.00,   E=0.00</v>
      </c>
      <c r="B281" s="36">
        <f>SUM($C281,$D281,$E281)</f>
        <v>0</v>
      </c>
      <c r="C281" s="36"/>
      <c r="D281" s="36"/>
      <c r="E281" s="36"/>
      <c r="F281" s="47"/>
      <c r="K281" s="10" t="str">
        <f>SUBSTITUTE(SUBSTITUTE(SUBSTITUTE("  q= 0.2,  f= 0.9/1.15=?,   E=0.60","0.2",TEXT($AB281,"#,##0.0"),1),"0.60",TEXT($AN281,"#,##0.00"),1),"_x001D_","'")</f>
        <v>  q= 0.0,  f= 0.9/1.15=?,   E=0.00</v>
      </c>
      <c r="AA281" s="40"/>
      <c r="AB281" s="6"/>
      <c r="AC281" s="40"/>
      <c r="AD281" s="7"/>
      <c r="AE281" s="40"/>
      <c r="AF281" s="8"/>
      <c r="AG281" s="40"/>
      <c r="AH281" s="7"/>
      <c r="AI281" s="40"/>
      <c r="AJ281" s="8"/>
      <c r="AK281" s="40"/>
      <c r="AL281" s="7"/>
      <c r="AM281" s="40"/>
      <c r="AN281" s="6"/>
      <c r="AO281" s="40"/>
      <c r="AP281" s="7"/>
    </row>
    <row r="282" spans="1:11" ht="18" customHeight="1">
      <c r="A282" s="42" t="s">
        <v>1297</v>
      </c>
      <c r="B282" s="36"/>
      <c r="C282" s="36"/>
      <c r="D282" s="36"/>
      <c r="E282" s="36"/>
      <c r="F282" s="47"/>
      <c r="K282" s="3" t="s">
        <v>1297</v>
      </c>
    </row>
    <row r="283" spans="1:34" ht="18" customHeight="1">
      <c r="A283" s="44" t="str">
        <f>CONCATENATE("  K=",TEXT($AB283,"#,##0.0")," , Cm=",TEXT($AF283,"#,##0.00")," sec (135˚)")</f>
        <v>  K=0.0 , Cm=0.00 sec (135˚)</v>
      </c>
      <c r="B283" s="36"/>
      <c r="C283" s="36"/>
      <c r="D283" s="36"/>
      <c r="E283" s="36"/>
      <c r="F283" s="47"/>
      <c r="K283" s="10" t="str">
        <f>SUBSTITUTE(SUBSTITUTE(SUBSTITUTE("  K= 1.1 , Cm= 18_x001D_sec (135˚)_x001D_","1.1",TEXT($AB283,"#,##0.0"),1),"18",TEXT($AF283,"#,##0"),1),"_x001D_","'")</f>
        <v>  K= 0.0 , Cm= 0'sec (135˚)'</v>
      </c>
      <c r="AA283" s="40"/>
      <c r="AB283" s="6"/>
      <c r="AC283" s="40"/>
      <c r="AD283" s="7"/>
      <c r="AE283" s="40"/>
      <c r="AF283" s="6"/>
      <c r="AG283" s="40"/>
      <c r="AH283" s="7"/>
    </row>
    <row r="284" spans="1:11" ht="18" customHeight="1">
      <c r="A284" s="42" t="s">
        <v>1297</v>
      </c>
      <c r="B284" s="36"/>
      <c r="C284" s="36"/>
      <c r="D284" s="36"/>
      <c r="E284" s="36"/>
      <c r="F284" s="47"/>
      <c r="K284" s="3" t="s">
        <v>1297</v>
      </c>
    </row>
    <row r="285" spans="1:34" ht="18" customHeight="1">
      <c r="A285" s="44" t="str">
        <f>CONCATENATE("  Q = 3600*q*K*f*E/Cm =",TEXT($AF285,"#,##0.00")," ㎥/hr ")</f>
        <v>  Q = 3600*q*K*f*E/Cm =0.00 ㎥/hr </v>
      </c>
      <c r="B285" s="36">
        <f>SUM($C285,$D285,$E285)</f>
        <v>0</v>
      </c>
      <c r="C285" s="36"/>
      <c r="D285" s="36"/>
      <c r="E285" s="36"/>
      <c r="F285" s="47"/>
      <c r="K285" s="3" t="s">
        <v>469</v>
      </c>
      <c r="AA285" s="40"/>
      <c r="AB285" s="8"/>
      <c r="AC285" s="40"/>
      <c r="AD285" s="7"/>
      <c r="AE285" s="40"/>
      <c r="AF285" s="8"/>
      <c r="AG285" s="40"/>
      <c r="AH285" s="7"/>
    </row>
    <row r="286" spans="1:11" ht="18" customHeight="1">
      <c r="A286" s="42" t="s">
        <v>1297</v>
      </c>
      <c r="B286" s="36"/>
      <c r="C286" s="36"/>
      <c r="D286" s="36"/>
      <c r="E286" s="36"/>
      <c r="F286" s="47"/>
      <c r="K286" s="3" t="s">
        <v>1297</v>
      </c>
    </row>
    <row r="287" spans="1:34" ht="18" customHeight="1">
      <c r="A287" s="44" t="str">
        <f>CONCATENATE("   노무비 : _x001D_47,849_x001D_ / Q * ",TEXT($AB287,"#,##0.00")," = ",TEXT($AF287,"#,##0.00"))</f>
        <v>   노무비 : _x001D_47,849_x001D_ / Q * 0.00 = 0.00</v>
      </c>
      <c r="B287" s="36">
        <f>SUM($C287,$D287,$E287)</f>
        <v>0</v>
      </c>
      <c r="C287" s="36"/>
      <c r="D287" s="36">
        <f>$AF287</f>
        <v>0</v>
      </c>
      <c r="E287" s="36"/>
      <c r="F287" s="47" t="s">
        <v>1297</v>
      </c>
      <c r="K287" s="3" t="s">
        <v>1267</v>
      </c>
      <c r="AA287" s="40"/>
      <c r="AB287" s="8"/>
      <c r="AC287" s="40"/>
      <c r="AD287" s="7"/>
      <c r="AE287" s="41"/>
      <c r="AF287" s="8"/>
      <c r="AG287" s="41"/>
      <c r="AH287" s="7"/>
    </row>
    <row r="288" spans="1:11" ht="18" customHeight="1">
      <c r="A288" s="42" t="s">
        <v>1297</v>
      </c>
      <c r="B288" s="36"/>
      <c r="C288" s="36"/>
      <c r="D288" s="36"/>
      <c r="E288" s="36"/>
      <c r="F288" s="47"/>
      <c r="K288" s="3" t="s">
        <v>1297</v>
      </c>
    </row>
    <row r="289" spans="1:34" ht="18" customHeight="1">
      <c r="A289" s="44" t="str">
        <f>CONCATENATE("   재료비 : _x001D_10,103.5_x001D_ / Q * ",TEXT($AB289,"#,##0.00")," = ",TEXT($AF289,"#,##0.00"))</f>
        <v>   재료비 : _x001D_10,103.5_x001D_ / Q * 0.00 = 0.00</v>
      </c>
      <c r="B289" s="36">
        <f>SUM($C289,$D289,$E289)</f>
        <v>0</v>
      </c>
      <c r="C289" s="36">
        <f>$AF289</f>
        <v>0</v>
      </c>
      <c r="D289" s="36"/>
      <c r="E289" s="36"/>
      <c r="F289" s="47" t="s">
        <v>1297</v>
      </c>
      <c r="K289" s="3" t="s">
        <v>314</v>
      </c>
      <c r="AA289" s="40"/>
      <c r="AB289" s="8"/>
      <c r="AC289" s="40"/>
      <c r="AD289" s="7"/>
      <c r="AE289" s="41"/>
      <c r="AF289" s="8"/>
      <c r="AG289" s="41"/>
      <c r="AH289" s="7"/>
    </row>
    <row r="290" spans="1:11" ht="18" customHeight="1">
      <c r="A290" s="42" t="s">
        <v>1297</v>
      </c>
      <c r="B290" s="36"/>
      <c r="C290" s="36"/>
      <c r="D290" s="36"/>
      <c r="E290" s="36"/>
      <c r="F290" s="47"/>
      <c r="K290" s="3" t="s">
        <v>1297</v>
      </c>
    </row>
    <row r="291" spans="1:34" ht="18" customHeight="1">
      <c r="A291" s="44" t="str">
        <f>CONCATENATE("   경  비 : _x001D_12,688_x001D_ / Q * ",TEXT($AB291,"#,##0.00")," = ",TEXT($AF291,"#,##0.00"))</f>
        <v>   경  비 : _x001D_12,688_x001D_ / Q * 0.00 = 0.00</v>
      </c>
      <c r="B291" s="36">
        <f>SUM($C291,$D291,$E291)</f>
        <v>0</v>
      </c>
      <c r="C291" s="36"/>
      <c r="D291" s="36"/>
      <c r="E291" s="36">
        <f>$AF291</f>
        <v>0</v>
      </c>
      <c r="F291" s="47" t="s">
        <v>1297</v>
      </c>
      <c r="K291" s="3" t="s">
        <v>154</v>
      </c>
      <c r="AA291" s="40"/>
      <c r="AB291" s="8"/>
      <c r="AC291" s="40"/>
      <c r="AD291" s="7"/>
      <c r="AE291" s="41"/>
      <c r="AF291" s="8"/>
      <c r="AG291" s="41"/>
      <c r="AH291" s="7"/>
    </row>
    <row r="292" spans="1:11" ht="18" customHeight="1">
      <c r="A292" s="42" t="s">
        <v>1297</v>
      </c>
      <c r="B292" s="36"/>
      <c r="C292" s="36"/>
      <c r="D292" s="36"/>
      <c r="E292" s="36"/>
      <c r="F292" s="47"/>
      <c r="K292" s="3" t="s">
        <v>1297</v>
      </c>
    </row>
    <row r="293" spans="1:32" ht="18" customHeight="1">
      <c r="A293" s="42" t="s">
        <v>914</v>
      </c>
      <c r="B293" s="37">
        <f>SUM($C293,$D293,$E293)</f>
        <v>0</v>
      </c>
      <c r="C293" s="37">
        <f>$AB293</f>
        <v>0</v>
      </c>
      <c r="D293" s="37">
        <f>$AD293</f>
        <v>0</v>
      </c>
      <c r="E293" s="37">
        <f>$AF293</f>
        <v>0</v>
      </c>
      <c r="F293" s="48"/>
      <c r="K293" s="3" t="s">
        <v>925</v>
      </c>
      <c r="AA293" s="40"/>
      <c r="AB293" s="7"/>
      <c r="AC293" s="40"/>
      <c r="AD293" s="7"/>
      <c r="AE293" s="40"/>
      <c r="AF293" s="7"/>
    </row>
    <row r="294" spans="1:11" ht="18" customHeight="1">
      <c r="A294" s="42" t="s">
        <v>1297</v>
      </c>
      <c r="B294" s="36"/>
      <c r="C294" s="36"/>
      <c r="D294" s="36"/>
      <c r="E294" s="36"/>
      <c r="F294" s="47"/>
      <c r="K294" s="3" t="s">
        <v>1297</v>
      </c>
    </row>
    <row r="295" spans="1:11" ht="18" customHeight="1">
      <c r="A295" s="42" t="s">
        <v>950</v>
      </c>
      <c r="B295" s="36"/>
      <c r="C295" s="36"/>
      <c r="D295" s="36"/>
      <c r="E295" s="36"/>
      <c r="F295" s="47"/>
      <c r="K295" s="3" t="s">
        <v>950</v>
      </c>
    </row>
    <row r="296" spans="1:30" ht="18" customHeight="1">
      <c r="A296" s="42" t="s">
        <v>1297</v>
      </c>
      <c r="B296" s="36"/>
      <c r="C296" s="36"/>
      <c r="D296" s="36"/>
      <c r="E296" s="36"/>
      <c r="F296" s="47"/>
      <c r="K296" s="3" t="s">
        <v>1036</v>
      </c>
      <c r="AA296" s="40"/>
      <c r="AB296" s="6"/>
      <c r="AC296" s="40"/>
      <c r="AD296" s="7"/>
    </row>
    <row r="297" spans="1:11" ht="18" customHeight="1">
      <c r="A297" s="42" t="s">
        <v>1297</v>
      </c>
      <c r="B297" s="36"/>
      <c r="C297" s="36"/>
      <c r="D297" s="36"/>
      <c r="E297" s="36"/>
      <c r="F297" s="47"/>
      <c r="K297" s="3" t="s">
        <v>1297</v>
      </c>
    </row>
    <row r="298" spans="1:34" ht="18" customHeight="1">
      <c r="A298" s="44" t="str">
        <f>CONCATENATE(" .보통인부: _x001D_148,510_x001D_ * 0.11 인 * ",TEXT($AB298,"#,##0.00")," = ",TEXT($AF298,"#,##0.00"))</f>
        <v> .보통인부: _x001D_148,510_x001D_ * 0.11 인 * 0.00 = 0.00</v>
      </c>
      <c r="B298" s="36">
        <f>SUM($C298,$D298,$E298)</f>
        <v>0</v>
      </c>
      <c r="C298" s="36"/>
      <c r="D298" s="36">
        <f>$AF298</f>
        <v>0</v>
      </c>
      <c r="E298" s="36"/>
      <c r="F298" s="47" t="s">
        <v>1297</v>
      </c>
      <c r="K298" s="3" t="s">
        <v>430</v>
      </c>
      <c r="AA298" s="40"/>
      <c r="AB298" s="8"/>
      <c r="AC298" s="40"/>
      <c r="AD298" s="7"/>
      <c r="AE298" s="41"/>
      <c r="AF298" s="8"/>
      <c r="AG298" s="41"/>
      <c r="AH298" s="7"/>
    </row>
    <row r="299" spans="1:11" ht="18" customHeight="1">
      <c r="A299" s="42" t="s">
        <v>1297</v>
      </c>
      <c r="B299" s="36"/>
      <c r="C299" s="36"/>
      <c r="D299" s="36"/>
      <c r="E299" s="36"/>
      <c r="F299" s="47"/>
      <c r="K299" s="3" t="s">
        <v>1297</v>
      </c>
    </row>
    <row r="300" spans="1:32" ht="18" customHeight="1">
      <c r="A300" s="42" t="s">
        <v>914</v>
      </c>
      <c r="B300" s="37">
        <f>SUM($C300,$D300,$E300)</f>
        <v>0</v>
      </c>
      <c r="C300" s="37">
        <f>$AB300</f>
        <v>0</v>
      </c>
      <c r="D300" s="37">
        <f>$AD300</f>
        <v>0</v>
      </c>
      <c r="E300" s="37">
        <f>$AF300</f>
        <v>0</v>
      </c>
      <c r="F300" s="48"/>
      <c r="K300" s="3" t="s">
        <v>925</v>
      </c>
      <c r="AA300" s="40"/>
      <c r="AB300" s="7"/>
      <c r="AC300" s="40"/>
      <c r="AD300" s="7"/>
      <c r="AE300" s="40"/>
      <c r="AF300" s="7"/>
    </row>
    <row r="301" spans="1:11" ht="18" customHeight="1">
      <c r="A301" s="42" t="s">
        <v>1297</v>
      </c>
      <c r="B301" s="36"/>
      <c r="C301" s="36"/>
      <c r="D301" s="36"/>
      <c r="E301" s="36"/>
      <c r="F301" s="47"/>
      <c r="K301" s="3" t="s">
        <v>1297</v>
      </c>
    </row>
    <row r="302" spans="1:11" ht="18" customHeight="1">
      <c r="A302" s="42" t="s">
        <v>258</v>
      </c>
      <c r="B302" s="36"/>
      <c r="C302" s="36"/>
      <c r="D302" s="36"/>
      <c r="E302" s="36"/>
      <c r="F302" s="47"/>
      <c r="K302" s="3" t="s">
        <v>258</v>
      </c>
    </row>
    <row r="303" spans="1:11" ht="18" customHeight="1">
      <c r="A303" s="42" t="s">
        <v>1297</v>
      </c>
      <c r="B303" s="36"/>
      <c r="C303" s="36"/>
      <c r="D303" s="36"/>
      <c r="E303" s="36"/>
      <c r="F303" s="47"/>
      <c r="K303" s="3" t="s">
        <v>1297</v>
      </c>
    </row>
    <row r="304" spans="1:11" ht="18" customHeight="1">
      <c r="A304" s="42" t="s">
        <v>1129</v>
      </c>
      <c r="B304" s="36"/>
      <c r="C304" s="36"/>
      <c r="D304" s="36"/>
      <c r="E304" s="36"/>
      <c r="F304" s="47"/>
      <c r="K304" s="3" t="s">
        <v>756</v>
      </c>
    </row>
    <row r="305" spans="1:11" ht="18" customHeight="1">
      <c r="A305" s="42" t="s">
        <v>1297</v>
      </c>
      <c r="B305" s="36"/>
      <c r="C305" s="36"/>
      <c r="D305" s="36"/>
      <c r="E305" s="36"/>
      <c r="F305" s="47"/>
      <c r="K305" s="3" t="s">
        <v>1297</v>
      </c>
    </row>
    <row r="306" spans="1:34" ht="18" customHeight="1">
      <c r="A306" s="44" t="str">
        <f>CONCATENATE("    Qt = 2.0 ton /20 ㎥ =",TEXT($AF306,"#,##0.00")," ton/㎥ ")</f>
        <v>    Qt = 2.0 ton /20 ㎥ =0.00 ton/㎥ </v>
      </c>
      <c r="B306" s="36">
        <f>SUM($C306,$D306,$E306)</f>
        <v>0</v>
      </c>
      <c r="C306" s="36"/>
      <c r="D306" s="36"/>
      <c r="E306" s="36"/>
      <c r="F306" s="47"/>
      <c r="K306" s="3" t="s">
        <v>165</v>
      </c>
      <c r="AA306" s="40"/>
      <c r="AB306" s="8"/>
      <c r="AC306" s="40"/>
      <c r="AD306" s="7"/>
      <c r="AE306" s="40"/>
      <c r="AF306" s="8"/>
      <c r="AG306" s="40"/>
      <c r="AH306" s="7"/>
    </row>
    <row r="307" spans="1:11" ht="18" customHeight="1">
      <c r="A307" s="42" t="s">
        <v>1297</v>
      </c>
      <c r="B307" s="36"/>
      <c r="C307" s="36"/>
      <c r="D307" s="36"/>
      <c r="E307" s="36"/>
      <c r="F307" s="47"/>
      <c r="K307" s="3" t="s">
        <v>1297</v>
      </c>
    </row>
    <row r="308" spans="1:34" ht="18" customHeight="1">
      <c r="A308" s="44" t="str">
        <f>CONCATENATE("    V=",TEXT($AB308,"#,##0.0")," ㎥ , E=",TEXT($AF308,"#,##0.0"))</f>
        <v>    V=0.0 ㎥ , E=0.0</v>
      </c>
      <c r="B308" s="36"/>
      <c r="C308" s="36"/>
      <c r="D308" s="36"/>
      <c r="E308" s="36"/>
      <c r="F308" s="47"/>
      <c r="K308" s="10" t="str">
        <f>SUBSTITUTE(SUBSTITUTE(SUBSTITUTE("    V = 5.5_x001D_㎥_x001D_, E = 0.9","5.5",TEXT($AB308,"#,##0.0"),1),"0.9",TEXT($AF308,"#,##0.0"),1),"_x001D_","'")</f>
        <v>    V = 0.0'㎥', E = 0.0</v>
      </c>
      <c r="AA308" s="40"/>
      <c r="AB308" s="6"/>
      <c r="AC308" s="40"/>
      <c r="AD308" s="7"/>
      <c r="AE308" s="40"/>
      <c r="AF308" s="6"/>
      <c r="AG308" s="40"/>
      <c r="AH308" s="7"/>
    </row>
    <row r="309" spans="1:11" ht="18" customHeight="1">
      <c r="A309" s="42" t="s">
        <v>1297</v>
      </c>
      <c r="B309" s="36"/>
      <c r="C309" s="36"/>
      <c r="D309" s="36"/>
      <c r="E309" s="36"/>
      <c r="F309" s="47"/>
      <c r="K309" s="3" t="s">
        <v>1297</v>
      </c>
    </row>
    <row r="310" spans="1:30" ht="18" customHeight="1">
      <c r="A310" s="44" t="str">
        <f>CONCATENATE("    t1=",TEXT($AB310,"#,##0.00")," min(급수)")</f>
        <v>    t1=0.00 min(급수)</v>
      </c>
      <c r="B310" s="36"/>
      <c r="C310" s="36"/>
      <c r="D310" s="36"/>
      <c r="E310" s="36"/>
      <c r="F310" s="47"/>
      <c r="K310" s="10" t="str">
        <f>SUBSTITUTE(SUBSTITUTE("    t1 = 15_x001D_min(급수)_x001D_","15",TEXT($AB310,"#,##0"),1),"_x001D_","'")</f>
        <v>    t1 = 0'min(급수)'</v>
      </c>
      <c r="AA310" s="40"/>
      <c r="AB310" s="6"/>
      <c r="AC310" s="40"/>
      <c r="AD310" s="7"/>
    </row>
    <row r="311" spans="1:11" ht="18" customHeight="1">
      <c r="A311" s="42" t="s">
        <v>1297</v>
      </c>
      <c r="B311" s="36"/>
      <c r="C311" s="36"/>
      <c r="D311" s="36"/>
      <c r="E311" s="36"/>
      <c r="F311" s="47"/>
      <c r="K311" s="3" t="s">
        <v>1297</v>
      </c>
    </row>
    <row r="312" spans="1:34" ht="18" customHeight="1">
      <c r="A312" s="44" t="str">
        <f>CONCATENATE("    t2 = 1/15*60*2 =",TEXT($AF312,"#,##0.00")," min ")</f>
        <v>    t2 = 1/15*60*2 =0.00 min </v>
      </c>
      <c r="B312" s="36">
        <f>SUM($C312,$D312,$E312)</f>
        <v>0</v>
      </c>
      <c r="C312" s="36"/>
      <c r="D312" s="36"/>
      <c r="E312" s="36"/>
      <c r="F312" s="47"/>
      <c r="K312" s="3" t="s">
        <v>1002</v>
      </c>
      <c r="AA312" s="40"/>
      <c r="AB312" s="8"/>
      <c r="AC312" s="40"/>
      <c r="AD312" s="7"/>
      <c r="AE312" s="40"/>
      <c r="AF312" s="8"/>
      <c r="AG312" s="40"/>
      <c r="AH312" s="7"/>
    </row>
    <row r="313" spans="1:11" ht="18" customHeight="1">
      <c r="A313" s="42" t="s">
        <v>1297</v>
      </c>
      <c r="B313" s="36"/>
      <c r="C313" s="36"/>
      <c r="D313" s="36"/>
      <c r="E313" s="36"/>
      <c r="F313" s="47"/>
      <c r="K313" s="3" t="s">
        <v>1297</v>
      </c>
    </row>
    <row r="314" spans="1:34" ht="18" customHeight="1">
      <c r="A314" s="44" t="str">
        <f>CONCATENATE("    t3 = 5500/550 =",TEXT($AF314,"#,##0.00")," min(살수) ")</f>
        <v>    t3 = 5500/550 =0.00 min(살수) </v>
      </c>
      <c r="B314" s="36">
        <f>SUM($C314,$D314,$E314)</f>
        <v>0</v>
      </c>
      <c r="C314" s="36"/>
      <c r="D314" s="36"/>
      <c r="E314" s="36"/>
      <c r="F314" s="47"/>
      <c r="K314" s="3" t="s">
        <v>795</v>
      </c>
      <c r="AA314" s="40"/>
      <c r="AB314" s="8"/>
      <c r="AC314" s="40"/>
      <c r="AD314" s="7"/>
      <c r="AE314" s="40"/>
      <c r="AF314" s="8"/>
      <c r="AG314" s="40"/>
      <c r="AH314" s="7"/>
    </row>
    <row r="315" spans="1:11" ht="18" customHeight="1">
      <c r="A315" s="42" t="s">
        <v>1297</v>
      </c>
      <c r="B315" s="36"/>
      <c r="C315" s="36"/>
      <c r="D315" s="36"/>
      <c r="E315" s="36"/>
      <c r="F315" s="47"/>
      <c r="K315" s="3" t="s">
        <v>1297</v>
      </c>
    </row>
    <row r="316" spans="1:30" ht="18" customHeight="1">
      <c r="A316" s="44" t="str">
        <f>CONCATENATE("    t4=",TEXT($AB316,"#,##0.00")," min(대기)")</f>
        <v>    t4=0.00 min(대기)</v>
      </c>
      <c r="B316" s="36"/>
      <c r="C316" s="36"/>
      <c r="D316" s="36"/>
      <c r="E316" s="36"/>
      <c r="F316" s="47"/>
      <c r="K316" s="10" t="str">
        <f>SUBSTITUTE(SUBSTITUTE("    t4 = 5_x001D_min(대기)_x001D_","5",TEXT($AB316,"#,##0"),1),"_x001D_","'")</f>
        <v>    t4 = 0'min(대기)'</v>
      </c>
      <c r="AA316" s="40"/>
      <c r="AB316" s="6"/>
      <c r="AC316" s="40"/>
      <c r="AD316" s="7"/>
    </row>
    <row r="317" spans="1:11" ht="18" customHeight="1">
      <c r="A317" s="42" t="s">
        <v>1297</v>
      </c>
      <c r="B317" s="36"/>
      <c r="C317" s="36"/>
      <c r="D317" s="36"/>
      <c r="E317" s="36"/>
      <c r="F317" s="47"/>
      <c r="K317" s="3" t="s">
        <v>1297</v>
      </c>
    </row>
    <row r="318" spans="1:34" ht="18" customHeight="1">
      <c r="A318" s="44" t="str">
        <f>CONCATENATE("    Cm = t1+t2+t3+t4 =",TEXT($AF318,"#,##0.00")," min ")</f>
        <v>    Cm = t1+t2+t3+t4 =0.00 min </v>
      </c>
      <c r="B318" s="36">
        <f>SUM($C318,$D318,$E318)</f>
        <v>0</v>
      </c>
      <c r="C318" s="36"/>
      <c r="D318" s="36"/>
      <c r="E318" s="36"/>
      <c r="F318" s="47"/>
      <c r="K318" s="3" t="s">
        <v>383</v>
      </c>
      <c r="AA318" s="40"/>
      <c r="AB318" s="8"/>
      <c r="AC318" s="40"/>
      <c r="AD318" s="7"/>
      <c r="AE318" s="40"/>
      <c r="AF318" s="8"/>
      <c r="AG318" s="40"/>
      <c r="AH318" s="7"/>
    </row>
    <row r="319" spans="1:11" ht="18" customHeight="1">
      <c r="A319" s="42" t="s">
        <v>1297</v>
      </c>
      <c r="B319" s="36"/>
      <c r="C319" s="36"/>
      <c r="D319" s="36"/>
      <c r="E319" s="36"/>
      <c r="F319" s="47"/>
      <c r="K319" s="3" t="s">
        <v>1297</v>
      </c>
    </row>
    <row r="320" spans="1:34" ht="18" customHeight="1">
      <c r="A320" s="44" t="str">
        <f>CONCATENATE("    Cm1 = t2+t3 =",TEXT($AF320,"#,##0.00")," min ")</f>
        <v>    Cm1 = t2+t3 =0.00 min </v>
      </c>
      <c r="B320" s="36">
        <f>SUM($C320,$D320,$E320)</f>
        <v>0</v>
      </c>
      <c r="C320" s="36"/>
      <c r="D320" s="36"/>
      <c r="E320" s="36"/>
      <c r="F320" s="47"/>
      <c r="K320" s="3" t="s">
        <v>954</v>
      </c>
      <c r="AA320" s="40"/>
      <c r="AB320" s="8"/>
      <c r="AC320" s="40"/>
      <c r="AD320" s="7"/>
      <c r="AE320" s="40"/>
      <c r="AF320" s="8"/>
      <c r="AG320" s="40"/>
      <c r="AH320" s="7"/>
    </row>
    <row r="321" spans="1:11" ht="18" customHeight="1">
      <c r="A321" s="42" t="s">
        <v>1297</v>
      </c>
      <c r="B321" s="36"/>
      <c r="C321" s="36"/>
      <c r="D321" s="36"/>
      <c r="E321" s="36"/>
      <c r="F321" s="47"/>
      <c r="K321" s="3" t="s">
        <v>1297</v>
      </c>
    </row>
    <row r="322" spans="1:34" ht="18" customHeight="1">
      <c r="A322" s="44" t="str">
        <f>CONCATENATE("    Q1 = 60*V*E/Cm =",TEXT($AF322,"#,##0.00")," ton/Hr ")</f>
        <v>    Q1 = 60*V*E/Cm =0.00 ton/Hr </v>
      </c>
      <c r="B322" s="36">
        <f>SUM($C322,$D322,$E322)</f>
        <v>0</v>
      </c>
      <c r="C322" s="36"/>
      <c r="D322" s="36"/>
      <c r="E322" s="36"/>
      <c r="F322" s="47"/>
      <c r="K322" s="3" t="s">
        <v>650</v>
      </c>
      <c r="AA322" s="40"/>
      <c r="AB322" s="8"/>
      <c r="AC322" s="40"/>
      <c r="AD322" s="7"/>
      <c r="AE322" s="40"/>
      <c r="AF322" s="8"/>
      <c r="AG322" s="40"/>
      <c r="AH322" s="7"/>
    </row>
    <row r="323" spans="1:11" ht="18" customHeight="1">
      <c r="A323" s="42" t="s">
        <v>1297</v>
      </c>
      <c r="B323" s="36"/>
      <c r="C323" s="36"/>
      <c r="D323" s="36"/>
      <c r="E323" s="36"/>
      <c r="F323" s="47"/>
      <c r="K323" s="3" t="s">
        <v>1297</v>
      </c>
    </row>
    <row r="324" spans="1:34" ht="18" customHeight="1">
      <c r="A324" s="44" t="str">
        <f>CONCATENATE("    Q = Q1/Qt =",TEXT($AF324,"#,##0.00")," ton/Hr ")</f>
        <v>    Q = Q1/Qt =0.00 ton/Hr </v>
      </c>
      <c r="B324" s="36">
        <f>SUM($C324,$D324,$E324)</f>
        <v>0</v>
      </c>
      <c r="C324" s="36"/>
      <c r="D324" s="36"/>
      <c r="E324" s="36"/>
      <c r="F324" s="47"/>
      <c r="K324" s="3" t="s">
        <v>486</v>
      </c>
      <c r="AA324" s="40"/>
      <c r="AB324" s="8"/>
      <c r="AC324" s="40"/>
      <c r="AD324" s="7"/>
      <c r="AE324" s="40"/>
      <c r="AF324" s="8"/>
      <c r="AG324" s="40"/>
      <c r="AH324" s="7"/>
    </row>
    <row r="325" spans="1:11" ht="18" customHeight="1">
      <c r="A325" s="42" t="s">
        <v>1297</v>
      </c>
      <c r="B325" s="36"/>
      <c r="C325" s="36"/>
      <c r="D325" s="36"/>
      <c r="E325" s="36"/>
      <c r="F325" s="47"/>
      <c r="K325" s="3" t="s">
        <v>1297</v>
      </c>
    </row>
    <row r="326" spans="1:34" ht="18" customHeight="1">
      <c r="A326" s="44" t="str">
        <f>CONCATENATE("    경    비 : _x001D_9,041_x001D_ / ",TEXT($AB326,"#,##0.00")," =",TEXT($AF326,"#,##0.00"))</f>
        <v>    경    비 : _x001D_9,041_x001D_ / 0.00 =0.00</v>
      </c>
      <c r="B326" s="36">
        <f>SUM($C326,$D326,$E326)</f>
        <v>0</v>
      </c>
      <c r="C326" s="36"/>
      <c r="D326" s="36"/>
      <c r="E326" s="36">
        <f>$AF326</f>
        <v>0</v>
      </c>
      <c r="F326" s="47" t="s">
        <v>1297</v>
      </c>
      <c r="K326" s="3" t="s">
        <v>979</v>
      </c>
      <c r="AA326" s="40"/>
      <c r="AB326" s="8"/>
      <c r="AC326" s="40"/>
      <c r="AD326" s="7"/>
      <c r="AE326" s="41"/>
      <c r="AF326" s="8"/>
      <c r="AG326" s="41"/>
      <c r="AH326" s="7"/>
    </row>
    <row r="327" spans="1:11" ht="18" customHeight="1">
      <c r="A327" s="42" t="s">
        <v>1297</v>
      </c>
      <c r="B327" s="36"/>
      <c r="C327" s="36"/>
      <c r="D327" s="36"/>
      <c r="E327" s="36"/>
      <c r="F327" s="47"/>
      <c r="K327" s="3" t="s">
        <v>1297</v>
      </c>
    </row>
    <row r="328" spans="1:34" ht="18" customHeight="1">
      <c r="A328" s="44" t="str">
        <f>CONCATENATE("    노 무 비 : _x001D_39,645_x001D_ / ",TEXT($AB328,"#,##0.00")," =",TEXT($AF328,"#,##0.00"))</f>
        <v>    노 무 비 : _x001D_39,645_x001D_ / 0.00 =0.00</v>
      </c>
      <c r="B328" s="36">
        <f>SUM($C328,$D328,$E328)</f>
        <v>0</v>
      </c>
      <c r="C328" s="36"/>
      <c r="D328" s="36">
        <f>$AF328</f>
        <v>0</v>
      </c>
      <c r="E328" s="36"/>
      <c r="F328" s="47" t="s">
        <v>1297</v>
      </c>
      <c r="K328" s="3" t="s">
        <v>1222</v>
      </c>
      <c r="AA328" s="40"/>
      <c r="AB328" s="8"/>
      <c r="AC328" s="40"/>
      <c r="AD328" s="7"/>
      <c r="AE328" s="41"/>
      <c r="AF328" s="8"/>
      <c r="AG328" s="41"/>
      <c r="AH328" s="7"/>
    </row>
    <row r="329" spans="1:11" ht="18" customHeight="1">
      <c r="A329" s="42" t="s">
        <v>1297</v>
      </c>
      <c r="B329" s="36"/>
      <c r="C329" s="36"/>
      <c r="D329" s="36"/>
      <c r="E329" s="36"/>
      <c r="F329" s="47"/>
      <c r="K329" s="3" t="s">
        <v>1297</v>
      </c>
    </row>
    <row r="330" spans="1:34" ht="18" customHeight="1">
      <c r="A330" s="44" t="str">
        <f>CONCATENATE("    재 료 비 : _x001D_20,190.3_x001D_ / ",TEXT($AB330,"#,##0.00")," =",TEXT($AF330,"#,##0.00"))</f>
        <v>    재 료 비 : _x001D_20,190.3_x001D_ / 0.00 =0.00</v>
      </c>
      <c r="B330" s="36">
        <f>SUM($C330,$D330,$E330)</f>
        <v>0</v>
      </c>
      <c r="C330" s="36">
        <f>$AF330</f>
        <v>0</v>
      </c>
      <c r="D330" s="36"/>
      <c r="E330" s="36"/>
      <c r="F330" s="47" t="s">
        <v>1297</v>
      </c>
      <c r="K330" s="3" t="s">
        <v>1237</v>
      </c>
      <c r="AA330" s="40"/>
      <c r="AB330" s="8"/>
      <c r="AC330" s="40"/>
      <c r="AD330" s="7"/>
      <c r="AE330" s="41"/>
      <c r="AF330" s="8"/>
      <c r="AG330" s="41"/>
      <c r="AH330" s="7"/>
    </row>
    <row r="331" spans="1:11" ht="18" customHeight="1">
      <c r="A331" s="42" t="s">
        <v>1297</v>
      </c>
      <c r="B331" s="36"/>
      <c r="C331" s="36"/>
      <c r="D331" s="36"/>
      <c r="E331" s="36"/>
      <c r="F331" s="47"/>
      <c r="K331" s="3" t="s">
        <v>1297</v>
      </c>
    </row>
    <row r="332" spans="1:32" ht="18" customHeight="1">
      <c r="A332" s="42" t="s">
        <v>914</v>
      </c>
      <c r="B332" s="37">
        <f>SUM($C332,$D332,$E332)</f>
        <v>0</v>
      </c>
      <c r="C332" s="37">
        <f>$AB332</f>
        <v>0</v>
      </c>
      <c r="D332" s="37">
        <f>$AD332</f>
        <v>0</v>
      </c>
      <c r="E332" s="37">
        <f>$AF332</f>
        <v>0</v>
      </c>
      <c r="F332" s="48"/>
      <c r="K332" s="3" t="s">
        <v>925</v>
      </c>
      <c r="AA332" s="40"/>
      <c r="AB332" s="7"/>
      <c r="AC332" s="40"/>
      <c r="AD332" s="7"/>
      <c r="AE332" s="40"/>
      <c r="AF332" s="7"/>
    </row>
    <row r="333" spans="1:11" ht="18" customHeight="1">
      <c r="A333" s="42" t="s">
        <v>1297</v>
      </c>
      <c r="B333" s="36"/>
      <c r="C333" s="36"/>
      <c r="D333" s="36"/>
      <c r="E333" s="36"/>
      <c r="F333" s="47"/>
      <c r="K333" s="3" t="s">
        <v>1297</v>
      </c>
    </row>
    <row r="334" spans="1:11" ht="18" customHeight="1">
      <c r="A334" s="42" t="s">
        <v>1297</v>
      </c>
      <c r="B334" s="36"/>
      <c r="C334" s="36"/>
      <c r="D334" s="36"/>
      <c r="E334" s="36"/>
      <c r="F334" s="47"/>
      <c r="K334" s="3" t="s">
        <v>1297</v>
      </c>
    </row>
    <row r="335" spans="1:32" ht="18" customHeight="1">
      <c r="A335" s="42" t="s">
        <v>22</v>
      </c>
      <c r="B335" s="38">
        <f>SUM($C335,$D335,$E335)</f>
        <v>0</v>
      </c>
      <c r="C335" s="38">
        <f>$AB335</f>
        <v>0</v>
      </c>
      <c r="D335" s="38">
        <f>$AD335</f>
        <v>0</v>
      </c>
      <c r="E335" s="38">
        <f>$AF335</f>
        <v>0</v>
      </c>
      <c r="F335" s="49"/>
      <c r="K335" s="3" t="s">
        <v>220</v>
      </c>
      <c r="AA335" s="40"/>
      <c r="AB335" s="7"/>
      <c r="AC335" s="40"/>
      <c r="AD335" s="7"/>
      <c r="AE335" s="40"/>
      <c r="AF335" s="7"/>
    </row>
    <row r="336" spans="1:6" ht="18" customHeight="1">
      <c r="A336" s="42"/>
      <c r="B336" s="3"/>
      <c r="C336" s="3"/>
      <c r="D336" s="3"/>
      <c r="E336" s="3"/>
      <c r="F336" s="46"/>
    </row>
    <row r="337" spans="1:6" ht="18" customHeight="1">
      <c r="A337" s="45" t="s">
        <v>726</v>
      </c>
      <c r="B337" s="39">
        <f>SUM($C337,$D337,$E337)</f>
        <v>0</v>
      </c>
      <c r="C337" s="39">
        <f>TRUNC(SUM($AH330),0)</f>
        <v>0</v>
      </c>
      <c r="D337" s="39">
        <f>TRUNC(SUM($AH328),0)</f>
        <v>0</v>
      </c>
      <c r="E337" s="39">
        <f>TRUNC(SUM($AH326),0)</f>
        <v>0</v>
      </c>
      <c r="F337" s="50"/>
    </row>
    <row r="338" spans="1:6" ht="18" customHeight="1">
      <c r="A338" s="42"/>
      <c r="B338" s="3"/>
      <c r="C338" s="3"/>
      <c r="D338" s="3"/>
      <c r="E338" s="3"/>
      <c r="F338" s="46"/>
    </row>
    <row r="339" spans="1:26" ht="18" customHeight="1">
      <c r="A339" s="42" t="s">
        <v>510</v>
      </c>
      <c r="B339" s="36">
        <f>$B360</f>
        <v>0</v>
      </c>
      <c r="C339" s="36">
        <f>$C360</f>
        <v>0</v>
      </c>
      <c r="D339" s="36">
        <f>$D360</f>
        <v>0</v>
      </c>
      <c r="E339" s="36">
        <f>$E360</f>
        <v>0</v>
      </c>
      <c r="F339" s="46" t="s">
        <v>1297</v>
      </c>
      <c r="H339" t="s">
        <v>776</v>
      </c>
      <c r="K339">
        <v>1</v>
      </c>
      <c r="Y339" s="7" t="b">
        <f>EXACT($Z339,$B360)</f>
        <v>0</v>
      </c>
      <c r="Z339" s="39"/>
    </row>
    <row r="340" spans="1:6" ht="18" customHeight="1">
      <c r="A340" s="43"/>
      <c r="B340" s="3"/>
      <c r="C340" s="3"/>
      <c r="D340" s="3"/>
      <c r="E340" s="3"/>
      <c r="F340" s="46"/>
    </row>
    <row r="341" spans="1:11" ht="18" customHeight="1">
      <c r="A341" s="42" t="s">
        <v>1297</v>
      </c>
      <c r="B341" s="3"/>
      <c r="C341" s="3"/>
      <c r="D341" s="3"/>
      <c r="E341" s="3"/>
      <c r="F341" s="46"/>
      <c r="I341" t="s">
        <v>166</v>
      </c>
      <c r="K341" t="s">
        <v>1083</v>
      </c>
    </row>
    <row r="342" spans="1:11" ht="18" customHeight="1">
      <c r="A342" s="42" t="s">
        <v>839</v>
      </c>
      <c r="B342" s="36"/>
      <c r="C342" s="36"/>
      <c r="D342" s="36"/>
      <c r="E342" s="36"/>
      <c r="F342" s="47"/>
      <c r="K342" s="3" t="s">
        <v>839</v>
      </c>
    </row>
    <row r="343" spans="1:11" ht="18" customHeight="1">
      <c r="A343" s="42" t="s">
        <v>1297</v>
      </c>
      <c r="B343" s="36"/>
      <c r="C343" s="36"/>
      <c r="D343" s="36"/>
      <c r="E343" s="36"/>
      <c r="F343" s="47"/>
      <c r="K343" s="3" t="s">
        <v>1297</v>
      </c>
    </row>
    <row r="344" spans="1:11" ht="18" customHeight="1">
      <c r="A344" s="42" t="s">
        <v>515</v>
      </c>
      <c r="B344" s="36"/>
      <c r="C344" s="36"/>
      <c r="D344" s="36"/>
      <c r="E344" s="36"/>
      <c r="F344" s="47"/>
      <c r="K344" s="3" t="s">
        <v>515</v>
      </c>
    </row>
    <row r="345" spans="1:11" ht="18" customHeight="1">
      <c r="A345" s="42" t="s">
        <v>1297</v>
      </c>
      <c r="B345" s="36"/>
      <c r="C345" s="36"/>
      <c r="D345" s="36"/>
      <c r="E345" s="36"/>
      <c r="F345" s="47"/>
      <c r="K345" s="3" t="s">
        <v>1297</v>
      </c>
    </row>
    <row r="346" spans="1:42" ht="18" customHeight="1">
      <c r="A346" s="44" t="str">
        <f>CONCATENATE("    q=",TEXT($AB346,"#,##0.0"),", f=1/1.40 =",TEXT($AJ346,"#,##0.00"),"  , E=",TEXT($AN346,"#,##0.00"))</f>
        <v>    q=0.0, f=1/1.40 =0.00  , E=0.00</v>
      </c>
      <c r="B346" s="36">
        <f>SUM($C346,$D346,$E346)</f>
        <v>0</v>
      </c>
      <c r="C346" s="36"/>
      <c r="D346" s="36"/>
      <c r="E346" s="36"/>
      <c r="F346" s="47"/>
      <c r="K346" s="10" t="str">
        <f>SUBSTITUTE(SUBSTITUTE(SUBSTITUTE("    q=0.2, f=1/1.40 =?  , E=0.45","0.2",TEXT($AB346,"#,##0.0"),1),"0.45",TEXT($AN346,"#,##0.00"),1),"_x001D_","'")</f>
        <v>    q=0.0, f=1/1.40 =?  , E=0.00</v>
      </c>
      <c r="AA346" s="40"/>
      <c r="AB346" s="6"/>
      <c r="AC346" s="40"/>
      <c r="AD346" s="7"/>
      <c r="AE346" s="40"/>
      <c r="AF346" s="8"/>
      <c r="AG346" s="40"/>
      <c r="AH346" s="7"/>
      <c r="AI346" s="40"/>
      <c r="AJ346" s="8"/>
      <c r="AK346" s="40"/>
      <c r="AL346" s="7"/>
      <c r="AM346" s="40"/>
      <c r="AN346" s="6"/>
      <c r="AO346" s="40"/>
      <c r="AP346" s="7"/>
    </row>
    <row r="347" spans="1:11" ht="18" customHeight="1">
      <c r="A347" s="42" t="s">
        <v>1297</v>
      </c>
      <c r="B347" s="36"/>
      <c r="C347" s="36"/>
      <c r="D347" s="36"/>
      <c r="E347" s="36"/>
      <c r="F347" s="47"/>
      <c r="K347" s="3" t="s">
        <v>1297</v>
      </c>
    </row>
    <row r="348" spans="1:34" ht="18" customHeight="1">
      <c r="A348" s="44" t="str">
        <f>CONCATENATE("    K=",TEXT($AB348,"#,##0.00")," , Cm=",TEXT($AF348,"#,##0.00")," sec(135˚)")</f>
        <v>    K=0.00 , Cm=0.00 sec(135˚)</v>
      </c>
      <c r="B348" s="36"/>
      <c r="C348" s="36"/>
      <c r="D348" s="36"/>
      <c r="E348" s="36"/>
      <c r="F348" s="47"/>
      <c r="K348" s="10" t="str">
        <f>SUBSTITUTE(SUBSTITUTE(SUBSTITUTE("    K=0.55 , Cm=18_x001D_sec(135˚)_x001D_","0.55",TEXT($AB348,"#,##0.00"),1),"18",TEXT($AF348,"#,##0"),1),"_x001D_","'")</f>
        <v>    K=0.00 , Cm=0'sec(135˚)'</v>
      </c>
      <c r="AA348" s="40"/>
      <c r="AB348" s="6"/>
      <c r="AC348" s="40"/>
      <c r="AD348" s="7"/>
      <c r="AE348" s="40"/>
      <c r="AF348" s="6"/>
      <c r="AG348" s="40"/>
      <c r="AH348" s="7"/>
    </row>
    <row r="349" spans="1:11" ht="18" customHeight="1">
      <c r="A349" s="42" t="s">
        <v>1297</v>
      </c>
      <c r="B349" s="36"/>
      <c r="C349" s="36"/>
      <c r="D349" s="36"/>
      <c r="E349" s="36"/>
      <c r="F349" s="47"/>
      <c r="K349" s="3" t="s">
        <v>1297</v>
      </c>
    </row>
    <row r="350" spans="1:34" ht="18" customHeight="1">
      <c r="A350" s="44" t="str">
        <f>CONCATENATE("    Q = 3600*q*K*f*E/Cm =",TEXT($AF350,"#,##0.00")," ㎥/hr ")</f>
        <v>    Q = 3600*q*K*f*E/Cm =0.00 ㎥/hr </v>
      </c>
      <c r="B350" s="36">
        <f>SUM($C350,$D350,$E350)</f>
        <v>0</v>
      </c>
      <c r="C350" s="36"/>
      <c r="D350" s="36"/>
      <c r="E350" s="36"/>
      <c r="F350" s="47"/>
      <c r="K350" s="3" t="s">
        <v>977</v>
      </c>
      <c r="AA350" s="40"/>
      <c r="AB350" s="8"/>
      <c r="AC350" s="40"/>
      <c r="AD350" s="7"/>
      <c r="AE350" s="40"/>
      <c r="AF350" s="8"/>
      <c r="AG350" s="40"/>
      <c r="AH350" s="7"/>
    </row>
    <row r="351" spans="1:11" ht="18" customHeight="1">
      <c r="A351" s="42" t="s">
        <v>1297</v>
      </c>
      <c r="B351" s="36"/>
      <c r="C351" s="36"/>
      <c r="D351" s="36"/>
      <c r="E351" s="36"/>
      <c r="F351" s="47"/>
      <c r="K351" s="3" t="s">
        <v>1297</v>
      </c>
    </row>
    <row r="352" spans="1:34" ht="18" customHeight="1">
      <c r="A352" s="44" t="str">
        <f>CONCATENATE("    노 무 비 :  _x001D_47,849_x001D_ / ",TEXT($AB352,"#,##0.00")," =",TEXT($AF352,"#,##0.00"))</f>
        <v>    노 무 비 :  _x001D_47,849_x001D_ / 0.00 =0.00</v>
      </c>
      <c r="B352" s="36">
        <f>SUM($C352,$D352,$E352)</f>
        <v>0</v>
      </c>
      <c r="C352" s="36"/>
      <c r="D352" s="36">
        <f>$AF352</f>
        <v>0</v>
      </c>
      <c r="E352" s="36"/>
      <c r="F352" s="47" t="s">
        <v>1297</v>
      </c>
      <c r="K352" s="3" t="s">
        <v>440</v>
      </c>
      <c r="AA352" s="40"/>
      <c r="AB352" s="8"/>
      <c r="AC352" s="40"/>
      <c r="AD352" s="7"/>
      <c r="AE352" s="41"/>
      <c r="AF352" s="8"/>
      <c r="AG352" s="41"/>
      <c r="AH352" s="7"/>
    </row>
    <row r="353" spans="1:11" ht="18" customHeight="1">
      <c r="A353" s="42" t="s">
        <v>1297</v>
      </c>
      <c r="B353" s="36"/>
      <c r="C353" s="36"/>
      <c r="D353" s="36"/>
      <c r="E353" s="36"/>
      <c r="F353" s="47"/>
      <c r="K353" s="3" t="s">
        <v>1297</v>
      </c>
    </row>
    <row r="354" spans="1:34" ht="18" customHeight="1">
      <c r="A354" s="44" t="str">
        <f>CONCATENATE("    재 료 비 :  _x001D_10,103.5_x001D_ / ",TEXT($AB354,"#,##0.00")," =",TEXT($AF354,"#,##0.00"))</f>
        <v>    재 료 비 :  _x001D_10,103.5_x001D_ / 0.00 =0.00</v>
      </c>
      <c r="B354" s="36">
        <f>SUM($C354,$D354,$E354)</f>
        <v>0</v>
      </c>
      <c r="C354" s="36">
        <f>$AF354</f>
        <v>0</v>
      </c>
      <c r="D354" s="36"/>
      <c r="E354" s="36"/>
      <c r="F354" s="47" t="s">
        <v>1297</v>
      </c>
      <c r="K354" s="3" t="s">
        <v>57</v>
      </c>
      <c r="AA354" s="40"/>
      <c r="AB354" s="8"/>
      <c r="AC354" s="40"/>
      <c r="AD354" s="7"/>
      <c r="AE354" s="41"/>
      <c r="AF354" s="8"/>
      <c r="AG354" s="41"/>
      <c r="AH354" s="7"/>
    </row>
    <row r="355" spans="1:11" ht="18" customHeight="1">
      <c r="A355" s="42" t="s">
        <v>1297</v>
      </c>
      <c r="B355" s="36"/>
      <c r="C355" s="36"/>
      <c r="D355" s="36"/>
      <c r="E355" s="36"/>
      <c r="F355" s="47"/>
      <c r="K355" s="3" t="s">
        <v>1297</v>
      </c>
    </row>
    <row r="356" spans="1:34" ht="18" customHeight="1">
      <c r="A356" s="44" t="str">
        <f>CONCATENATE("    경    비 :  _x001D_12,688_x001D_ / ",TEXT($AB356,"#,##0.00")," =",TEXT($AF356,"#,##0.00"))</f>
        <v>    경    비 :  _x001D_12,688_x001D_ / 0.00 =0.00</v>
      </c>
      <c r="B356" s="36">
        <f>SUM($C356,$D356,$E356)</f>
        <v>0</v>
      </c>
      <c r="C356" s="36"/>
      <c r="D356" s="36"/>
      <c r="E356" s="36">
        <f>$AF356</f>
        <v>0</v>
      </c>
      <c r="F356" s="47" t="s">
        <v>1297</v>
      </c>
      <c r="K356" s="3" t="s">
        <v>455</v>
      </c>
      <c r="AA356" s="40"/>
      <c r="AB356" s="8"/>
      <c r="AC356" s="40"/>
      <c r="AD356" s="7"/>
      <c r="AE356" s="41"/>
      <c r="AF356" s="8"/>
      <c r="AG356" s="41"/>
      <c r="AH356" s="7"/>
    </row>
    <row r="357" spans="1:11" ht="18" customHeight="1">
      <c r="A357" s="42" t="s">
        <v>1297</v>
      </c>
      <c r="B357" s="36"/>
      <c r="C357" s="36"/>
      <c r="D357" s="36"/>
      <c r="E357" s="36"/>
      <c r="F357" s="47"/>
      <c r="K357" s="3" t="s">
        <v>1297</v>
      </c>
    </row>
    <row r="358" spans="1:32" ht="18" customHeight="1">
      <c r="A358" s="42" t="s">
        <v>553</v>
      </c>
      <c r="B358" s="37">
        <f>SUM($C358,$D358,$E358)</f>
        <v>0</v>
      </c>
      <c r="C358" s="37">
        <f>$AB358</f>
        <v>0</v>
      </c>
      <c r="D358" s="37">
        <f>$AD358</f>
        <v>0</v>
      </c>
      <c r="E358" s="37">
        <f>$AF358</f>
        <v>0</v>
      </c>
      <c r="F358" s="48"/>
      <c r="K358" s="3" t="s">
        <v>704</v>
      </c>
      <c r="AA358" s="40"/>
      <c r="AB358" s="7"/>
      <c r="AC358" s="40"/>
      <c r="AD358" s="7"/>
      <c r="AE358" s="40"/>
      <c r="AF358" s="7"/>
    </row>
    <row r="359" spans="1:6" ht="18" customHeight="1">
      <c r="A359" s="42"/>
      <c r="B359" s="3"/>
      <c r="C359" s="3"/>
      <c r="D359" s="3"/>
      <c r="E359" s="3"/>
      <c r="F359" s="46"/>
    </row>
    <row r="360" spans="1:6" ht="18" customHeight="1">
      <c r="A360" s="45" t="s">
        <v>726</v>
      </c>
      <c r="B360" s="39">
        <f>SUM($C360,$D360,$E360)</f>
        <v>0</v>
      </c>
      <c r="C360" s="39">
        <f>TRUNC(SUM($AH354),0)</f>
        <v>0</v>
      </c>
      <c r="D360" s="39">
        <f>TRUNC(SUM($AH352),0)</f>
        <v>0</v>
      </c>
      <c r="E360" s="39">
        <f>TRUNC(SUM($AH356),0)</f>
        <v>0</v>
      </c>
      <c r="F360" s="50"/>
    </row>
    <row r="361" spans="1:6" ht="18" customHeight="1">
      <c r="A361" s="42"/>
      <c r="B361" s="3"/>
      <c r="C361" s="3"/>
      <c r="D361" s="3"/>
      <c r="E361" s="3"/>
      <c r="F361" s="46"/>
    </row>
    <row r="362" spans="1:26" ht="18" customHeight="1">
      <c r="A362" s="42" t="s">
        <v>1291</v>
      </c>
      <c r="B362" s="36">
        <f>$B462</f>
        <v>0</v>
      </c>
      <c r="C362" s="36">
        <f>$C462</f>
        <v>0</v>
      </c>
      <c r="D362" s="36">
        <f>$D462</f>
        <v>0</v>
      </c>
      <c r="E362" s="36">
        <f>$E462</f>
        <v>0</v>
      </c>
      <c r="F362" s="46" t="s">
        <v>1126</v>
      </c>
      <c r="H362" t="s">
        <v>409</v>
      </c>
      <c r="K362">
        <v>1</v>
      </c>
      <c r="Y362" s="7" t="b">
        <f>EXACT($Z362,$B462)</f>
        <v>0</v>
      </c>
      <c r="Z362" s="39"/>
    </row>
    <row r="363" spans="1:6" ht="18" customHeight="1">
      <c r="A363" s="43"/>
      <c r="B363" s="3"/>
      <c r="C363" s="3"/>
      <c r="D363" s="3"/>
      <c r="E363" s="3"/>
      <c r="F363" s="46"/>
    </row>
    <row r="364" spans="1:11" ht="18" customHeight="1">
      <c r="A364" s="42" t="s">
        <v>1297</v>
      </c>
      <c r="B364" s="3"/>
      <c r="C364" s="3"/>
      <c r="D364" s="3"/>
      <c r="E364" s="3"/>
      <c r="F364" s="46"/>
      <c r="I364" t="s">
        <v>166</v>
      </c>
      <c r="K364" t="s">
        <v>1083</v>
      </c>
    </row>
    <row r="365" spans="1:11" ht="18" customHeight="1">
      <c r="A365" s="42" t="s">
        <v>595</v>
      </c>
      <c r="B365" s="36"/>
      <c r="C365" s="36"/>
      <c r="D365" s="36"/>
      <c r="E365" s="36"/>
      <c r="F365" s="47"/>
      <c r="K365" s="3" t="s">
        <v>595</v>
      </c>
    </row>
    <row r="366" spans="1:11" ht="18" customHeight="1">
      <c r="A366" s="42" t="s">
        <v>1297</v>
      </c>
      <c r="B366" s="36"/>
      <c r="C366" s="36"/>
      <c r="D366" s="36"/>
      <c r="E366" s="36"/>
      <c r="F366" s="47"/>
      <c r="K366" s="3" t="s">
        <v>1297</v>
      </c>
    </row>
    <row r="367" spans="1:30" ht="18" customHeight="1">
      <c r="A367" s="44" t="str">
        <f>CONCATENATE(" ○ 1일 시공량 :  A=",TEXT($AB367,"#,##0.00"),"  ㎡/일")</f>
        <v> ○ 1일 시공량 :  A=0.00  ㎡/일</v>
      </c>
      <c r="B367" s="36"/>
      <c r="C367" s="36"/>
      <c r="D367" s="36"/>
      <c r="E367" s="36"/>
      <c r="F367" s="47"/>
      <c r="K367" s="10" t="str">
        <f>SUBSTITUTE(SUBSTITUTE("_x001D_○ 1일 시공량 :_x001D_ A = 45 _x001D_㎡/일_x001D_","45",TEXT($AB367,"#,##0"),1),"_x001D_","'")</f>
        <v>'○ 1일 시공량 :' A = 0 '㎡/일'</v>
      </c>
      <c r="AA367" s="40"/>
      <c r="AB367" s="6"/>
      <c r="AC367" s="40"/>
      <c r="AD367" s="7"/>
    </row>
    <row r="368" spans="1:11" ht="18" customHeight="1">
      <c r="A368" s="42" t="s">
        <v>1297</v>
      </c>
      <c r="B368" s="36"/>
      <c r="C368" s="36"/>
      <c r="D368" s="36"/>
      <c r="E368" s="36"/>
      <c r="F368" s="47"/>
      <c r="K368" s="3" t="s">
        <v>1297</v>
      </c>
    </row>
    <row r="369" spans="1:38" ht="18" customHeight="1">
      <c r="A369" s="44" t="str">
        <f>CONCATENATE(" ○ 1시간 작업량 :  Q = ",TEXT($AB369,"#,##0.00")," / 8 hr  * 0.85 = ",TEXT($AJ369,"#,##0.00")," ㎡/hr ")</f>
        <v> ○ 1시간 작업량 :  Q = 0.00 / 8 hr  * 0.85 = 0.00 ㎡/hr </v>
      </c>
      <c r="B369" s="36">
        <f>SUM($C369,$D369,$E369)</f>
        <v>0</v>
      </c>
      <c r="C369" s="36"/>
      <c r="D369" s="36"/>
      <c r="E369" s="36"/>
      <c r="F369" s="47"/>
      <c r="K369" s="3" t="s">
        <v>1035</v>
      </c>
      <c r="AA369" s="40"/>
      <c r="AB369" s="8"/>
      <c r="AC369" s="40"/>
      <c r="AD369" s="7"/>
      <c r="AE369" s="40"/>
      <c r="AF369" s="8"/>
      <c r="AG369" s="40"/>
      <c r="AH369" s="7"/>
      <c r="AI369" s="40"/>
      <c r="AJ369" s="8"/>
      <c r="AK369" s="40"/>
      <c r="AL369" s="7"/>
    </row>
    <row r="370" spans="1:11" ht="18" customHeight="1">
      <c r="A370" s="42" t="s">
        <v>1297</v>
      </c>
      <c r="B370" s="36"/>
      <c r="C370" s="36"/>
      <c r="D370" s="36"/>
      <c r="E370" s="36"/>
      <c r="F370" s="47"/>
      <c r="K370" s="3" t="s">
        <v>1297</v>
      </c>
    </row>
    <row r="371" spans="1:11" ht="18" customHeight="1">
      <c r="A371" s="42" t="s">
        <v>520</v>
      </c>
      <c r="B371" s="36"/>
      <c r="C371" s="36"/>
      <c r="D371" s="36"/>
      <c r="E371" s="36"/>
      <c r="F371" s="47"/>
      <c r="K371" s="3" t="s">
        <v>520</v>
      </c>
    </row>
    <row r="372" spans="1:11" ht="18" customHeight="1">
      <c r="A372" s="42" t="s">
        <v>1297</v>
      </c>
      <c r="B372" s="36"/>
      <c r="C372" s="36"/>
      <c r="D372" s="36"/>
      <c r="E372" s="36"/>
      <c r="F372" s="47"/>
      <c r="K372" s="3" t="s">
        <v>1297</v>
      </c>
    </row>
    <row r="373" spans="1:34" ht="18" customHeight="1">
      <c r="A373" s="44" t="str">
        <f>CONCATENATE("     포 장 공 :  3.0 인  / ",TEXT($AB373,"#,##0.00")," * _x001D_225,104_x001D_ = ",TEXT($AF373,"#,##0.00"))</f>
        <v>     포 장 공 :  3.0 인  / 0.00 * _x001D_225,104_x001D_ = 0.00</v>
      </c>
      <c r="B373" s="36">
        <f>SUM($C373,$D373,$E373)</f>
        <v>0</v>
      </c>
      <c r="C373" s="36"/>
      <c r="D373" s="36">
        <f>$AF373</f>
        <v>0</v>
      </c>
      <c r="E373" s="36"/>
      <c r="F373" s="47" t="s">
        <v>1297</v>
      </c>
      <c r="K373" s="3" t="s">
        <v>766</v>
      </c>
      <c r="AA373" s="40"/>
      <c r="AB373" s="8"/>
      <c r="AC373" s="40"/>
      <c r="AD373" s="7"/>
      <c r="AE373" s="41"/>
      <c r="AF373" s="8"/>
      <c r="AG373" s="41"/>
      <c r="AH373" s="7"/>
    </row>
    <row r="374" spans="1:11" ht="18" customHeight="1">
      <c r="A374" s="42" t="s">
        <v>1297</v>
      </c>
      <c r="B374" s="36"/>
      <c r="C374" s="36"/>
      <c r="D374" s="36"/>
      <c r="E374" s="36"/>
      <c r="F374" s="47"/>
      <c r="K374" s="3" t="s">
        <v>1297</v>
      </c>
    </row>
    <row r="375" spans="1:34" ht="18" customHeight="1">
      <c r="A375" s="44" t="str">
        <f>CONCATENATE("    보통인부(포설및다짐) :  1.0 인  / ",TEXT($AB375,"#,##0.00")," * _x001D_148,510_x001D_ = ",TEXT($AF375,"#,##0.00"))</f>
        <v>    보통인부(포설및다짐) :  1.0 인  / 0.00 * _x001D_148,510_x001D_ = 0.00</v>
      </c>
      <c r="B375" s="36">
        <f>SUM($C375,$D375,$E375)</f>
        <v>0</v>
      </c>
      <c r="C375" s="36"/>
      <c r="D375" s="36">
        <f>$AF375</f>
        <v>0</v>
      </c>
      <c r="E375" s="36"/>
      <c r="F375" s="47" t="s">
        <v>1297</v>
      </c>
      <c r="K375" s="3" t="s">
        <v>188</v>
      </c>
      <c r="AA375" s="40"/>
      <c r="AB375" s="8"/>
      <c r="AC375" s="40"/>
      <c r="AD375" s="7"/>
      <c r="AE375" s="41"/>
      <c r="AF375" s="8"/>
      <c r="AG375" s="41"/>
      <c r="AH375" s="7"/>
    </row>
    <row r="376" spans="1:11" ht="18" customHeight="1">
      <c r="A376" s="42" t="s">
        <v>1297</v>
      </c>
      <c r="B376" s="36"/>
      <c r="C376" s="36"/>
      <c r="D376" s="36"/>
      <c r="E376" s="36"/>
      <c r="F376" s="47"/>
      <c r="K376" s="3" t="s">
        <v>1297</v>
      </c>
    </row>
    <row r="377" spans="1:30" ht="18" customHeight="1">
      <c r="A377" s="42" t="s">
        <v>170</v>
      </c>
      <c r="B377" s="38">
        <f>SUM($C377,$D377,$E377)</f>
        <v>0</v>
      </c>
      <c r="C377" s="38">
        <f>$AB377</f>
        <v>0</v>
      </c>
      <c r="D377" s="38">
        <f>$AD377</f>
        <v>0</v>
      </c>
      <c r="E377" s="38">
        <f>$AF377</f>
        <v>0</v>
      </c>
      <c r="F377" s="49"/>
      <c r="K377" s="3" t="s">
        <v>182</v>
      </c>
      <c r="AC377" s="40"/>
      <c r="AD377" s="7"/>
    </row>
    <row r="378" spans="1:11" ht="18" customHeight="1">
      <c r="A378" s="42" t="s">
        <v>1297</v>
      </c>
      <c r="B378" s="36"/>
      <c r="C378" s="36"/>
      <c r="D378" s="36"/>
      <c r="E378" s="36"/>
      <c r="F378" s="47"/>
      <c r="K378" s="3" t="s">
        <v>1297</v>
      </c>
    </row>
    <row r="379" spans="1:11" ht="18" customHeight="1">
      <c r="A379" s="42" t="s">
        <v>1230</v>
      </c>
      <c r="B379" s="36"/>
      <c r="C379" s="36"/>
      <c r="D379" s="36"/>
      <c r="E379" s="36"/>
      <c r="F379" s="47"/>
      <c r="K379" s="3" t="s">
        <v>1230</v>
      </c>
    </row>
    <row r="380" spans="1:11" ht="18" customHeight="1">
      <c r="A380" s="42" t="s">
        <v>1297</v>
      </c>
      <c r="B380" s="36"/>
      <c r="C380" s="36"/>
      <c r="D380" s="36"/>
      <c r="E380" s="36"/>
      <c r="F380" s="47"/>
      <c r="K380" s="3" t="s">
        <v>1297</v>
      </c>
    </row>
    <row r="381" spans="1:11" ht="18" customHeight="1">
      <c r="A381" s="42" t="s">
        <v>936</v>
      </c>
      <c r="B381" s="36"/>
      <c r="C381" s="36"/>
      <c r="D381" s="36"/>
      <c r="E381" s="36"/>
      <c r="F381" s="47"/>
      <c r="K381" s="3" t="s">
        <v>936</v>
      </c>
    </row>
    <row r="382" spans="1:11" ht="18" customHeight="1">
      <c r="A382" s="42" t="s">
        <v>1297</v>
      </c>
      <c r="B382" s="36"/>
      <c r="C382" s="36"/>
      <c r="D382" s="36"/>
      <c r="E382" s="36"/>
      <c r="F382" s="47"/>
      <c r="K382" s="3" t="s">
        <v>1297</v>
      </c>
    </row>
    <row r="383" spans="1:34" ht="18" customHeight="1">
      <c r="A383" s="44" t="str">
        <f>CONCATENATE("    재 료 비 :  _x001D_11,596.48_x001D_ / ",TEXT($AB383,"#,##0.00")," = ",TEXT($AF383,"#,##0.00"))</f>
        <v>    재 료 비 :  _x001D_11,596.48_x001D_ / 0.00 = 0.00</v>
      </c>
      <c r="B383" s="36">
        <f>SUM($C383,$D383,$E383)</f>
        <v>0</v>
      </c>
      <c r="C383" s="36">
        <f>$AF383</f>
        <v>0</v>
      </c>
      <c r="D383" s="36"/>
      <c r="E383" s="36"/>
      <c r="F383" s="47" t="s">
        <v>1297</v>
      </c>
      <c r="K383" s="3" t="s">
        <v>844</v>
      </c>
      <c r="AA383" s="40"/>
      <c r="AB383" s="8"/>
      <c r="AC383" s="40"/>
      <c r="AD383" s="7"/>
      <c r="AE383" s="41"/>
      <c r="AF383" s="8"/>
      <c r="AG383" s="41"/>
      <c r="AH383" s="7"/>
    </row>
    <row r="384" spans="1:11" ht="18" customHeight="1">
      <c r="A384" s="42" t="s">
        <v>1297</v>
      </c>
      <c r="B384" s="36"/>
      <c r="C384" s="36"/>
      <c r="D384" s="36"/>
      <c r="E384" s="36"/>
      <c r="F384" s="47"/>
      <c r="K384" s="3" t="s">
        <v>1297</v>
      </c>
    </row>
    <row r="385" spans="1:34" ht="18" customHeight="1">
      <c r="A385" s="44" t="str">
        <f>CONCATENATE("    노 무 비 :  _x001D_47,849_x001D_ / ",TEXT($AB385,"#,##0.00")," = ",TEXT($AF385,"#,##0.00"))</f>
        <v>    노 무 비 :  _x001D_47,849_x001D_ / 0.00 = 0.00</v>
      </c>
      <c r="B385" s="36">
        <f>SUM($C385,$D385,$E385)</f>
        <v>0</v>
      </c>
      <c r="C385" s="36"/>
      <c r="D385" s="36">
        <f>$AF385</f>
        <v>0</v>
      </c>
      <c r="E385" s="36"/>
      <c r="F385" s="47" t="s">
        <v>1297</v>
      </c>
      <c r="K385" s="3" t="s">
        <v>215</v>
      </c>
      <c r="AA385" s="40"/>
      <c r="AB385" s="8"/>
      <c r="AC385" s="40"/>
      <c r="AD385" s="7"/>
      <c r="AE385" s="41"/>
      <c r="AF385" s="8"/>
      <c r="AG385" s="41"/>
      <c r="AH385" s="7"/>
    </row>
    <row r="386" spans="1:11" ht="18" customHeight="1">
      <c r="A386" s="42" t="s">
        <v>1297</v>
      </c>
      <c r="B386" s="36"/>
      <c r="C386" s="36"/>
      <c r="D386" s="36"/>
      <c r="E386" s="36"/>
      <c r="F386" s="47"/>
      <c r="K386" s="3" t="s">
        <v>1297</v>
      </c>
    </row>
    <row r="387" spans="1:34" ht="18" customHeight="1">
      <c r="A387" s="44" t="str">
        <f>CONCATENATE("    경    비 :  _x001D_14,671_x001D_ / ",TEXT($AB387,"#,##0.00")," = ",TEXT($AF387,"#,##0.00"))</f>
        <v>    경    비 :  _x001D_14,671_x001D_ / 0.00 = 0.00</v>
      </c>
      <c r="B387" s="36">
        <f>SUM($C387,$D387,$E387)</f>
        <v>0</v>
      </c>
      <c r="C387" s="36"/>
      <c r="D387" s="36"/>
      <c r="E387" s="36">
        <f>$AF387</f>
        <v>0</v>
      </c>
      <c r="F387" s="47" t="s">
        <v>1297</v>
      </c>
      <c r="K387" s="3" t="s">
        <v>434</v>
      </c>
      <c r="AA387" s="40"/>
      <c r="AB387" s="8"/>
      <c r="AC387" s="40"/>
      <c r="AD387" s="7"/>
      <c r="AE387" s="41"/>
      <c r="AF387" s="8"/>
      <c r="AG387" s="41"/>
      <c r="AH387" s="7"/>
    </row>
    <row r="388" spans="1:11" ht="18" customHeight="1">
      <c r="A388" s="42" t="s">
        <v>1297</v>
      </c>
      <c r="B388" s="36"/>
      <c r="C388" s="36"/>
      <c r="D388" s="36"/>
      <c r="E388" s="36"/>
      <c r="F388" s="47"/>
      <c r="K388" s="3" t="s">
        <v>1297</v>
      </c>
    </row>
    <row r="389" spans="1:32" ht="18" customHeight="1">
      <c r="A389" s="42" t="s">
        <v>695</v>
      </c>
      <c r="B389" s="37">
        <f>SUM($C389,$D389,$E389)</f>
        <v>0</v>
      </c>
      <c r="C389" s="37">
        <f>$AB389</f>
        <v>0</v>
      </c>
      <c r="D389" s="37">
        <f>$AD389</f>
        <v>0</v>
      </c>
      <c r="E389" s="37">
        <f>$AF389</f>
        <v>0</v>
      </c>
      <c r="F389" s="48"/>
      <c r="K389" s="3" t="s">
        <v>780</v>
      </c>
      <c r="AA389" s="40"/>
      <c r="AB389" s="7"/>
      <c r="AC389" s="40"/>
      <c r="AD389" s="7"/>
      <c r="AE389" s="40"/>
      <c r="AF389" s="7"/>
    </row>
    <row r="390" spans="1:11" ht="18" customHeight="1">
      <c r="A390" s="42" t="s">
        <v>1297</v>
      </c>
      <c r="B390" s="36"/>
      <c r="C390" s="36"/>
      <c r="D390" s="36"/>
      <c r="E390" s="36"/>
      <c r="F390" s="47"/>
      <c r="K390" s="3" t="s">
        <v>1297</v>
      </c>
    </row>
    <row r="391" spans="1:11" ht="18" customHeight="1">
      <c r="A391" s="42" t="s">
        <v>261</v>
      </c>
      <c r="B391" s="36"/>
      <c r="C391" s="36"/>
      <c r="D391" s="36"/>
      <c r="E391" s="36"/>
      <c r="F391" s="47"/>
      <c r="K391" s="3" t="s">
        <v>261</v>
      </c>
    </row>
    <row r="392" spans="1:11" ht="18" customHeight="1">
      <c r="A392" s="42" t="s">
        <v>1297</v>
      </c>
      <c r="B392" s="36"/>
      <c r="C392" s="36"/>
      <c r="D392" s="36"/>
      <c r="E392" s="36"/>
      <c r="F392" s="47"/>
      <c r="K392" s="3" t="s">
        <v>1297</v>
      </c>
    </row>
    <row r="393" spans="1:34" ht="18" customHeight="1">
      <c r="A393" s="44" t="str">
        <f>CONCATENATE("    재 료 비 :  _x001D_8,416.8_x001D_ / ",TEXT($AB393,"#,##0.00")," = ",TEXT($AF393,"#,##0.00"))</f>
        <v>    재 료 비 :  _x001D_8,416.8_x001D_ / 0.00 = 0.00</v>
      </c>
      <c r="B393" s="36">
        <f>SUM($C393,$D393,$E393)</f>
        <v>0</v>
      </c>
      <c r="C393" s="36">
        <f>$AF393</f>
        <v>0</v>
      </c>
      <c r="D393" s="36"/>
      <c r="E393" s="36"/>
      <c r="F393" s="47" t="s">
        <v>1297</v>
      </c>
      <c r="K393" s="3" t="s">
        <v>1024</v>
      </c>
      <c r="AA393" s="40"/>
      <c r="AB393" s="8"/>
      <c r="AC393" s="40"/>
      <c r="AD393" s="7"/>
      <c r="AE393" s="41"/>
      <c r="AF393" s="8"/>
      <c r="AG393" s="41"/>
      <c r="AH393" s="7"/>
    </row>
    <row r="394" spans="1:11" ht="18" customHeight="1">
      <c r="A394" s="42" t="s">
        <v>1297</v>
      </c>
      <c r="B394" s="36"/>
      <c r="C394" s="36"/>
      <c r="D394" s="36"/>
      <c r="E394" s="36"/>
      <c r="F394" s="47"/>
      <c r="K394" s="3" t="s">
        <v>1297</v>
      </c>
    </row>
    <row r="395" spans="1:34" ht="18" customHeight="1">
      <c r="A395" s="44" t="str">
        <f>CONCATENATE("    노 무 비 :  _x001D_47,849_x001D_ / ",TEXT($AB395,"#,##0.00")," = ",TEXT($AF395,"#,##0.00"))</f>
        <v>    노 무 비 :  _x001D_47,849_x001D_ / 0.00 = 0.00</v>
      </c>
      <c r="B395" s="36">
        <f>SUM($C395,$D395,$E395)</f>
        <v>0</v>
      </c>
      <c r="C395" s="36"/>
      <c r="D395" s="36">
        <f>$AF395</f>
        <v>0</v>
      </c>
      <c r="E395" s="36"/>
      <c r="F395" s="47" t="s">
        <v>1297</v>
      </c>
      <c r="K395" s="3" t="s">
        <v>393</v>
      </c>
      <c r="AA395" s="40"/>
      <c r="AB395" s="8"/>
      <c r="AC395" s="40"/>
      <c r="AD395" s="7"/>
      <c r="AE395" s="41"/>
      <c r="AF395" s="8"/>
      <c r="AG395" s="41"/>
      <c r="AH395" s="7"/>
    </row>
    <row r="396" spans="1:11" ht="18" customHeight="1">
      <c r="A396" s="42" t="s">
        <v>1297</v>
      </c>
      <c r="B396" s="36"/>
      <c r="C396" s="36"/>
      <c r="D396" s="36"/>
      <c r="E396" s="36"/>
      <c r="F396" s="47"/>
      <c r="K396" s="3" t="s">
        <v>1297</v>
      </c>
    </row>
    <row r="397" spans="1:34" ht="18" customHeight="1">
      <c r="A397" s="44" t="str">
        <f>CONCATENATE("    경    비 :  _x001D_6,623_x001D_ / ",TEXT($AB397,"#,##0.00")," = ",TEXT($AF397,"#,##0.00"))</f>
        <v>    경    비 :  _x001D_6,623_x001D_ / 0.00 = 0.00</v>
      </c>
      <c r="B397" s="36">
        <f>SUM($C397,$D397,$E397)</f>
        <v>0</v>
      </c>
      <c r="C397" s="36"/>
      <c r="D397" s="36"/>
      <c r="E397" s="36">
        <f>$AF397</f>
        <v>0</v>
      </c>
      <c r="F397" s="47" t="s">
        <v>1297</v>
      </c>
      <c r="K397" s="3" t="s">
        <v>255</v>
      </c>
      <c r="AA397" s="40"/>
      <c r="AB397" s="8"/>
      <c r="AC397" s="40"/>
      <c r="AD397" s="7"/>
      <c r="AE397" s="41"/>
      <c r="AF397" s="8"/>
      <c r="AG397" s="41"/>
      <c r="AH397" s="7"/>
    </row>
    <row r="398" spans="1:11" ht="18" customHeight="1">
      <c r="A398" s="42" t="s">
        <v>1297</v>
      </c>
      <c r="B398" s="36"/>
      <c r="C398" s="36"/>
      <c r="D398" s="36"/>
      <c r="E398" s="36"/>
      <c r="F398" s="47"/>
      <c r="K398" s="3" t="s">
        <v>1297</v>
      </c>
    </row>
    <row r="399" spans="1:32" ht="18" customHeight="1">
      <c r="A399" s="42" t="s">
        <v>695</v>
      </c>
      <c r="B399" s="37">
        <f>SUM($C399,$D399,$E399)</f>
        <v>0</v>
      </c>
      <c r="C399" s="37">
        <f>$AB399</f>
        <v>0</v>
      </c>
      <c r="D399" s="37">
        <f>$AD399</f>
        <v>0</v>
      </c>
      <c r="E399" s="37">
        <f>$AF399</f>
        <v>0</v>
      </c>
      <c r="F399" s="48"/>
      <c r="K399" s="3" t="s">
        <v>780</v>
      </c>
      <c r="AA399" s="40"/>
      <c r="AB399" s="7"/>
      <c r="AC399" s="40"/>
      <c r="AD399" s="7"/>
      <c r="AE399" s="40"/>
      <c r="AF399" s="7"/>
    </row>
    <row r="400" spans="1:11" ht="18" customHeight="1">
      <c r="A400" s="42" t="s">
        <v>1297</v>
      </c>
      <c r="B400" s="36"/>
      <c r="C400" s="36"/>
      <c r="D400" s="36"/>
      <c r="E400" s="36"/>
      <c r="F400" s="47"/>
      <c r="K400" s="3" t="s">
        <v>1297</v>
      </c>
    </row>
    <row r="401" spans="1:11" ht="18" customHeight="1">
      <c r="A401" s="42" t="s">
        <v>1297</v>
      </c>
      <c r="B401" s="36"/>
      <c r="C401" s="36"/>
      <c r="D401" s="36"/>
      <c r="E401" s="36"/>
      <c r="F401" s="47"/>
      <c r="K401" s="3" t="s">
        <v>1297</v>
      </c>
    </row>
    <row r="402" spans="1:32" ht="18" customHeight="1">
      <c r="A402" s="42" t="s">
        <v>170</v>
      </c>
      <c r="B402" s="38">
        <f>SUM($C402,$D402,$E402)</f>
        <v>0</v>
      </c>
      <c r="C402" s="38">
        <f>$AB402</f>
        <v>0</v>
      </c>
      <c r="D402" s="38">
        <f>$AD402</f>
        <v>0</v>
      </c>
      <c r="E402" s="38">
        <f>$AF402</f>
        <v>0</v>
      </c>
      <c r="F402" s="49"/>
      <c r="K402" s="3" t="s">
        <v>182</v>
      </c>
      <c r="AA402" s="40"/>
      <c r="AB402" s="7"/>
      <c r="AC402" s="40"/>
      <c r="AD402" s="7"/>
      <c r="AE402" s="40"/>
      <c r="AF402" s="7"/>
    </row>
    <row r="403" spans="1:11" ht="18" customHeight="1">
      <c r="A403" s="42" t="s">
        <v>1297</v>
      </c>
      <c r="B403" s="36"/>
      <c r="C403" s="36"/>
      <c r="D403" s="36"/>
      <c r="E403" s="36"/>
      <c r="F403" s="47"/>
      <c r="K403" s="3" t="s">
        <v>1297</v>
      </c>
    </row>
    <row r="404" spans="1:11" ht="18" customHeight="1">
      <c r="A404" s="42" t="s">
        <v>552</v>
      </c>
      <c r="B404" s="36"/>
      <c r="C404" s="36"/>
      <c r="D404" s="36"/>
      <c r="E404" s="36"/>
      <c r="F404" s="47"/>
      <c r="K404" s="3" t="s">
        <v>552</v>
      </c>
    </row>
    <row r="405" spans="1:11" ht="18" customHeight="1">
      <c r="A405" s="42" t="s">
        <v>1297</v>
      </c>
      <c r="B405" s="36"/>
      <c r="C405" s="36"/>
      <c r="D405" s="36"/>
      <c r="E405" s="36"/>
      <c r="F405" s="47"/>
      <c r="K405" s="3" t="s">
        <v>1297</v>
      </c>
    </row>
    <row r="406" spans="1:11" ht="18" customHeight="1">
      <c r="A406" s="42" t="s">
        <v>1017</v>
      </c>
      <c r="B406" s="36"/>
      <c r="C406" s="36"/>
      <c r="D406" s="36"/>
      <c r="E406" s="36"/>
      <c r="F406" s="47"/>
      <c r="K406" s="3" t="s">
        <v>1017</v>
      </c>
    </row>
    <row r="407" spans="1:11" ht="18" customHeight="1">
      <c r="A407" s="42" t="s">
        <v>1297</v>
      </c>
      <c r="B407" s="36"/>
      <c r="C407" s="36"/>
      <c r="D407" s="36"/>
      <c r="E407" s="36"/>
      <c r="F407" s="47"/>
      <c r="K407" s="3" t="s">
        <v>1297</v>
      </c>
    </row>
    <row r="408" spans="1:34" ht="18" customHeight="1">
      <c r="A408" s="44" t="str">
        <f>CONCATENATE("    재 료 비 :  _x001D_4,340.33_x001D_ / ",TEXT($AB408,"#,##0.00")," = ",TEXT($AF408,"#,##0.00"))</f>
        <v>    재 료 비 :  _x001D_4,340.33_x001D_ / 0.00 = 0.00</v>
      </c>
      <c r="B408" s="36">
        <f>SUM($C408,$D408,$E408)</f>
        <v>0</v>
      </c>
      <c r="C408" s="36">
        <f>$AF408</f>
        <v>0</v>
      </c>
      <c r="D408" s="36"/>
      <c r="E408" s="36"/>
      <c r="F408" s="47" t="s">
        <v>1297</v>
      </c>
      <c r="K408" s="3" t="s">
        <v>529</v>
      </c>
      <c r="AA408" s="40"/>
      <c r="AB408" s="8"/>
      <c r="AC408" s="40"/>
      <c r="AD408" s="7"/>
      <c r="AE408" s="41"/>
      <c r="AF408" s="8"/>
      <c r="AG408" s="41"/>
      <c r="AH408" s="7"/>
    </row>
    <row r="409" spans="1:11" ht="18" customHeight="1">
      <c r="A409" s="42" t="s">
        <v>1297</v>
      </c>
      <c r="B409" s="36"/>
      <c r="C409" s="36"/>
      <c r="D409" s="36"/>
      <c r="E409" s="36"/>
      <c r="F409" s="47"/>
      <c r="K409" s="3" t="s">
        <v>1297</v>
      </c>
    </row>
    <row r="410" spans="1:34" ht="18" customHeight="1">
      <c r="A410" s="44" t="str">
        <f>CONCATENATE("    노 무 비 :  _x001D_47,849_x001D_ / ",TEXT($AB410,"#,##0.00")," = ",TEXT($AF410,"#,##0.00"))</f>
        <v>    노 무 비 :  _x001D_47,849_x001D_ / 0.00 = 0.00</v>
      </c>
      <c r="B410" s="36">
        <f>SUM($C410,$D410,$E410)</f>
        <v>0</v>
      </c>
      <c r="C410" s="36"/>
      <c r="D410" s="36">
        <f>$AF410</f>
        <v>0</v>
      </c>
      <c r="E410" s="36"/>
      <c r="F410" s="47" t="s">
        <v>1297</v>
      </c>
      <c r="K410" s="3" t="s">
        <v>1202</v>
      </c>
      <c r="AA410" s="40"/>
      <c r="AB410" s="8"/>
      <c r="AC410" s="40"/>
      <c r="AD410" s="7"/>
      <c r="AE410" s="41"/>
      <c r="AF410" s="8"/>
      <c r="AG410" s="41"/>
      <c r="AH410" s="7"/>
    </row>
    <row r="411" spans="1:11" ht="18" customHeight="1">
      <c r="A411" s="42" t="s">
        <v>1297</v>
      </c>
      <c r="B411" s="36"/>
      <c r="C411" s="36"/>
      <c r="D411" s="36"/>
      <c r="E411" s="36"/>
      <c r="F411" s="47"/>
      <c r="K411" s="3" t="s">
        <v>1297</v>
      </c>
    </row>
    <row r="412" spans="1:34" ht="18" customHeight="1">
      <c r="A412" s="44" t="str">
        <f>CONCATENATE("    경    비 :  _x001D_4,705_x001D_ / ",TEXT($AB412,"#,##0.00")," = ",TEXT($AF412,"#,##0.00"))</f>
        <v>    경    비 :  _x001D_4,705_x001D_ / 0.00 = 0.00</v>
      </c>
      <c r="B412" s="36">
        <f>SUM($C412,$D412,$E412)</f>
        <v>0</v>
      </c>
      <c r="C412" s="36"/>
      <c r="D412" s="36"/>
      <c r="E412" s="36">
        <f>$AF412</f>
        <v>0</v>
      </c>
      <c r="F412" s="47" t="s">
        <v>1297</v>
      </c>
      <c r="K412" s="3" t="s">
        <v>731</v>
      </c>
      <c r="AA412" s="40"/>
      <c r="AB412" s="8"/>
      <c r="AC412" s="40"/>
      <c r="AD412" s="7"/>
      <c r="AE412" s="41"/>
      <c r="AF412" s="8"/>
      <c r="AG412" s="41"/>
      <c r="AH412" s="7"/>
    </row>
    <row r="413" spans="1:11" ht="18" customHeight="1">
      <c r="A413" s="42" t="s">
        <v>1297</v>
      </c>
      <c r="B413" s="36"/>
      <c r="C413" s="36"/>
      <c r="D413" s="36"/>
      <c r="E413" s="36"/>
      <c r="F413" s="47"/>
      <c r="K413" s="3" t="s">
        <v>1297</v>
      </c>
    </row>
    <row r="414" spans="1:32" ht="18" customHeight="1">
      <c r="A414" s="42" t="s">
        <v>695</v>
      </c>
      <c r="B414" s="37">
        <f>SUM($C414,$D414,$E414)</f>
        <v>0</v>
      </c>
      <c r="C414" s="37">
        <f>$AB414</f>
        <v>0</v>
      </c>
      <c r="D414" s="37">
        <f>$AD414</f>
        <v>0</v>
      </c>
      <c r="E414" s="37">
        <f>$AF414</f>
        <v>0</v>
      </c>
      <c r="F414" s="48"/>
      <c r="K414" s="3" t="s">
        <v>780</v>
      </c>
      <c r="AA414" s="40"/>
      <c r="AB414" s="7"/>
      <c r="AC414" s="40"/>
      <c r="AD414" s="7"/>
      <c r="AE414" s="40"/>
      <c r="AF414" s="7"/>
    </row>
    <row r="415" spans="1:11" ht="18" customHeight="1">
      <c r="A415" s="42" t="s">
        <v>1297</v>
      </c>
      <c r="B415" s="36"/>
      <c r="C415" s="36"/>
      <c r="D415" s="36"/>
      <c r="E415" s="36"/>
      <c r="F415" s="47"/>
      <c r="K415" s="3" t="s">
        <v>1297</v>
      </c>
    </row>
    <row r="416" spans="1:11" ht="18" customHeight="1">
      <c r="A416" s="42" t="s">
        <v>63</v>
      </c>
      <c r="B416" s="36"/>
      <c r="C416" s="36"/>
      <c r="D416" s="36"/>
      <c r="E416" s="36"/>
      <c r="F416" s="47"/>
      <c r="K416" s="3" t="s">
        <v>63</v>
      </c>
    </row>
    <row r="417" spans="1:11" ht="18" customHeight="1">
      <c r="A417" s="42" t="s">
        <v>1297</v>
      </c>
      <c r="B417" s="36"/>
      <c r="C417" s="36"/>
      <c r="D417" s="36"/>
      <c r="E417" s="36"/>
      <c r="F417" s="47"/>
      <c r="K417" s="3" t="s">
        <v>1297</v>
      </c>
    </row>
    <row r="418" spans="1:34" ht="18" customHeight="1">
      <c r="A418" s="44" t="str">
        <f>CONCATENATE("    재 료 비 :  _x001D_4,151.62_x001D_ / ",TEXT($AB418,"#,##0.00")," = ",TEXT($AF418,"#,##0.00"))</f>
        <v>    재 료 비 :  _x001D_4,151.62_x001D_ / 0.00 = 0.00</v>
      </c>
      <c r="B418" s="36">
        <f>SUM($C418,$D418,$E418)</f>
        <v>0</v>
      </c>
      <c r="C418" s="36">
        <f>$AF418</f>
        <v>0</v>
      </c>
      <c r="D418" s="36"/>
      <c r="E418" s="36"/>
      <c r="F418" s="47" t="s">
        <v>1297</v>
      </c>
      <c r="K418" s="3" t="s">
        <v>124</v>
      </c>
      <c r="AA418" s="40"/>
      <c r="AB418" s="8"/>
      <c r="AC418" s="40"/>
      <c r="AD418" s="7"/>
      <c r="AE418" s="41"/>
      <c r="AF418" s="8"/>
      <c r="AG418" s="41"/>
      <c r="AH418" s="7"/>
    </row>
    <row r="419" spans="1:11" ht="18" customHeight="1">
      <c r="A419" s="42" t="s">
        <v>1297</v>
      </c>
      <c r="B419" s="36"/>
      <c r="C419" s="36"/>
      <c r="D419" s="36"/>
      <c r="E419" s="36"/>
      <c r="F419" s="47"/>
      <c r="K419" s="3" t="s">
        <v>1297</v>
      </c>
    </row>
    <row r="420" spans="1:34" ht="18" customHeight="1">
      <c r="A420" s="44" t="str">
        <f>CONCATENATE("    노 무 비 :  _x001D_29,239_x001D_ / ",TEXT($AB420,"#,##0.00")," = ",TEXT($AF420,"#,##0.00"))</f>
        <v>    노 무 비 :  _x001D_29,239_x001D_ / 0.00 = 0.00</v>
      </c>
      <c r="B420" s="36">
        <f>SUM($C420,$D420,$E420)</f>
        <v>0</v>
      </c>
      <c r="C420" s="36"/>
      <c r="D420" s="36">
        <f>$AF420</f>
        <v>0</v>
      </c>
      <c r="E420" s="36"/>
      <c r="F420" s="47" t="s">
        <v>1297</v>
      </c>
      <c r="K420" s="3" t="s">
        <v>771</v>
      </c>
      <c r="AA420" s="40"/>
      <c r="AB420" s="8"/>
      <c r="AC420" s="40"/>
      <c r="AD420" s="7"/>
      <c r="AE420" s="41"/>
      <c r="AF420" s="8"/>
      <c r="AG420" s="41"/>
      <c r="AH420" s="7"/>
    </row>
    <row r="421" spans="1:11" ht="18" customHeight="1">
      <c r="A421" s="42" t="s">
        <v>1297</v>
      </c>
      <c r="B421" s="36"/>
      <c r="C421" s="36"/>
      <c r="D421" s="36"/>
      <c r="E421" s="36"/>
      <c r="F421" s="47"/>
      <c r="K421" s="3" t="s">
        <v>1297</v>
      </c>
    </row>
    <row r="422" spans="1:34" ht="18" customHeight="1">
      <c r="A422" s="44" t="str">
        <f>CONCATENATE("    경    비 :  _x001D_1,767_x001D_ / ",TEXT($AB422,"#,##0.00")," = ",TEXT($AF422,"#,##0.00"))</f>
        <v>    경    비 :  _x001D_1,767_x001D_ / 0.00 = 0.00</v>
      </c>
      <c r="B422" s="36">
        <f>SUM($C422,$D422,$E422)</f>
        <v>0</v>
      </c>
      <c r="C422" s="36"/>
      <c r="D422" s="36"/>
      <c r="E422" s="36">
        <f>$AF422</f>
        <v>0</v>
      </c>
      <c r="F422" s="47" t="s">
        <v>1297</v>
      </c>
      <c r="K422" s="3" t="s">
        <v>1174</v>
      </c>
      <c r="AA422" s="40"/>
      <c r="AB422" s="8"/>
      <c r="AC422" s="40"/>
      <c r="AD422" s="7"/>
      <c r="AE422" s="41"/>
      <c r="AF422" s="8"/>
      <c r="AG422" s="41"/>
      <c r="AH422" s="7"/>
    </row>
    <row r="423" spans="1:11" ht="18" customHeight="1">
      <c r="A423" s="42" t="s">
        <v>1297</v>
      </c>
      <c r="B423" s="36"/>
      <c r="C423" s="36"/>
      <c r="D423" s="36"/>
      <c r="E423" s="36"/>
      <c r="F423" s="47"/>
      <c r="K423" s="3" t="s">
        <v>1297</v>
      </c>
    </row>
    <row r="424" spans="1:32" ht="18" customHeight="1">
      <c r="A424" s="42" t="s">
        <v>695</v>
      </c>
      <c r="B424" s="37">
        <f>SUM($C424,$D424,$E424)</f>
        <v>0</v>
      </c>
      <c r="C424" s="37">
        <f>$AB424</f>
        <v>0</v>
      </c>
      <c r="D424" s="37">
        <f>$AD424</f>
        <v>0</v>
      </c>
      <c r="E424" s="37">
        <f>$AF424</f>
        <v>0</v>
      </c>
      <c r="F424" s="48"/>
      <c r="K424" s="3" t="s">
        <v>780</v>
      </c>
      <c r="AA424" s="40"/>
      <c r="AB424" s="7"/>
      <c r="AC424" s="40"/>
      <c r="AD424" s="7"/>
      <c r="AE424" s="40"/>
      <c r="AF424" s="7"/>
    </row>
    <row r="425" spans="1:11" ht="18" customHeight="1">
      <c r="A425" s="42" t="s">
        <v>1297</v>
      </c>
      <c r="B425" s="36"/>
      <c r="C425" s="36"/>
      <c r="D425" s="36"/>
      <c r="E425" s="36"/>
      <c r="F425" s="47"/>
      <c r="K425" s="3" t="s">
        <v>1297</v>
      </c>
    </row>
    <row r="426" spans="1:11" ht="18" customHeight="1">
      <c r="A426" s="42" t="s">
        <v>33</v>
      </c>
      <c r="B426" s="36"/>
      <c r="C426" s="36"/>
      <c r="D426" s="36"/>
      <c r="E426" s="36"/>
      <c r="F426" s="47"/>
      <c r="K426" s="3" t="s">
        <v>33</v>
      </c>
    </row>
    <row r="427" spans="1:11" ht="18" customHeight="1">
      <c r="A427" s="42" t="s">
        <v>1297</v>
      </c>
      <c r="B427" s="36"/>
      <c r="C427" s="36"/>
      <c r="D427" s="36"/>
      <c r="E427" s="36"/>
      <c r="F427" s="47"/>
      <c r="K427" s="3" t="s">
        <v>1297</v>
      </c>
    </row>
    <row r="428" spans="1:34" ht="18" customHeight="1">
      <c r="A428" s="44" t="str">
        <f>CONCATENATE("    재 료 비 :  _x001D_2,044.8_x001D_ / ",TEXT($AB428,"#,##0.00")," = ",TEXT($AF428,"#,##0.00"))</f>
        <v>    재 료 비 :  _x001D_2,044.8_x001D_ / 0.00 = 0.00</v>
      </c>
      <c r="B428" s="36">
        <f>SUM($C428,$D428,$E428)</f>
        <v>0</v>
      </c>
      <c r="C428" s="36">
        <f>$AF428</f>
        <v>0</v>
      </c>
      <c r="D428" s="36"/>
      <c r="E428" s="36"/>
      <c r="F428" s="47" t="s">
        <v>1297</v>
      </c>
      <c r="K428" s="3" t="s">
        <v>1128</v>
      </c>
      <c r="AA428" s="40"/>
      <c r="AB428" s="8"/>
      <c r="AC428" s="40"/>
      <c r="AD428" s="7"/>
      <c r="AE428" s="41"/>
      <c r="AF428" s="8"/>
      <c r="AG428" s="41"/>
      <c r="AH428" s="7"/>
    </row>
    <row r="429" spans="1:11" ht="18" customHeight="1">
      <c r="A429" s="42" t="s">
        <v>1297</v>
      </c>
      <c r="B429" s="36"/>
      <c r="C429" s="36"/>
      <c r="D429" s="36"/>
      <c r="E429" s="36"/>
      <c r="F429" s="47"/>
      <c r="K429" s="3" t="s">
        <v>1297</v>
      </c>
    </row>
    <row r="430" spans="1:34" ht="18" customHeight="1">
      <c r="A430" s="44" t="str">
        <f>CONCATENATE("    노 무 비 :  _x001D_29,239_x001D_ / ",TEXT($AB430,"#,##0.00")," = ",TEXT($AF430,"#,##0.00"))</f>
        <v>    노 무 비 :  _x001D_29,239_x001D_ / 0.00 = 0.00</v>
      </c>
      <c r="B430" s="36">
        <f>SUM($C430,$D430,$E430)</f>
        <v>0</v>
      </c>
      <c r="C430" s="36"/>
      <c r="D430" s="36">
        <f>$AF430</f>
        <v>0</v>
      </c>
      <c r="E430" s="36"/>
      <c r="F430" s="47" t="s">
        <v>1297</v>
      </c>
      <c r="K430" s="3" t="s">
        <v>464</v>
      </c>
      <c r="AA430" s="40"/>
      <c r="AB430" s="8"/>
      <c r="AC430" s="40"/>
      <c r="AD430" s="7"/>
      <c r="AE430" s="41"/>
      <c r="AF430" s="8"/>
      <c r="AG430" s="41"/>
      <c r="AH430" s="7"/>
    </row>
    <row r="431" spans="1:11" ht="18" customHeight="1">
      <c r="A431" s="42" t="s">
        <v>1297</v>
      </c>
      <c r="B431" s="36"/>
      <c r="C431" s="36"/>
      <c r="D431" s="36"/>
      <c r="E431" s="36"/>
      <c r="F431" s="47"/>
      <c r="K431" s="3" t="s">
        <v>1297</v>
      </c>
    </row>
    <row r="432" spans="1:34" ht="18" customHeight="1">
      <c r="A432" s="44" t="str">
        <f>CONCATENATE("    경    비 :  _x001D_556_x001D_ / ",TEXT($AB432,"#,##0.00")," = ",TEXT($AF432,"#,##0.00"))</f>
        <v>    경    비 :  _x001D_556_x001D_ / 0.00 = 0.00</v>
      </c>
      <c r="B432" s="36">
        <f>SUM($C432,$D432,$E432)</f>
        <v>0</v>
      </c>
      <c r="C432" s="36"/>
      <c r="D432" s="36"/>
      <c r="E432" s="36">
        <f>$AF432</f>
        <v>0</v>
      </c>
      <c r="F432" s="47" t="s">
        <v>1297</v>
      </c>
      <c r="K432" s="3" t="s">
        <v>175</v>
      </c>
      <c r="AA432" s="40"/>
      <c r="AB432" s="8"/>
      <c r="AC432" s="40"/>
      <c r="AD432" s="7"/>
      <c r="AE432" s="41"/>
      <c r="AF432" s="8"/>
      <c r="AG432" s="41"/>
      <c r="AH432" s="7"/>
    </row>
    <row r="433" spans="1:11" ht="18" customHeight="1">
      <c r="A433" s="42" t="s">
        <v>1297</v>
      </c>
      <c r="B433" s="36"/>
      <c r="C433" s="36"/>
      <c r="D433" s="36"/>
      <c r="E433" s="36"/>
      <c r="F433" s="47"/>
      <c r="K433" s="3" t="s">
        <v>1297</v>
      </c>
    </row>
    <row r="434" spans="1:32" ht="18" customHeight="1">
      <c r="A434" s="42" t="s">
        <v>695</v>
      </c>
      <c r="B434" s="37">
        <f>SUM($C434,$D434,$E434)</f>
        <v>0</v>
      </c>
      <c r="C434" s="37">
        <f>$AB434</f>
        <v>0</v>
      </c>
      <c r="D434" s="37">
        <f>$AD434</f>
        <v>0</v>
      </c>
      <c r="E434" s="37">
        <f>$AF434</f>
        <v>0</v>
      </c>
      <c r="F434" s="48"/>
      <c r="K434" s="3" t="s">
        <v>780</v>
      </c>
      <c r="AA434" s="40"/>
      <c r="AB434" s="7"/>
      <c r="AC434" s="40"/>
      <c r="AD434" s="7"/>
      <c r="AE434" s="40"/>
      <c r="AF434" s="7"/>
    </row>
    <row r="435" spans="1:11" ht="18" customHeight="1">
      <c r="A435" s="42" t="s">
        <v>1297</v>
      </c>
      <c r="B435" s="36"/>
      <c r="C435" s="36"/>
      <c r="D435" s="36"/>
      <c r="E435" s="36"/>
      <c r="F435" s="47"/>
      <c r="K435" s="3" t="s">
        <v>1297</v>
      </c>
    </row>
    <row r="436" spans="1:11" ht="18" customHeight="1">
      <c r="A436" s="42" t="s">
        <v>1297</v>
      </c>
      <c r="B436" s="36"/>
      <c r="C436" s="36"/>
      <c r="D436" s="36"/>
      <c r="E436" s="36"/>
      <c r="F436" s="47"/>
      <c r="K436" s="3" t="s">
        <v>1297</v>
      </c>
    </row>
    <row r="437" spans="1:32" ht="18" customHeight="1">
      <c r="A437" s="42" t="s">
        <v>170</v>
      </c>
      <c r="B437" s="38">
        <f>SUM($C437,$D437,$E437)</f>
        <v>0</v>
      </c>
      <c r="C437" s="38">
        <f>$AB437</f>
        <v>0</v>
      </c>
      <c r="D437" s="38">
        <f>$AD437</f>
        <v>0</v>
      </c>
      <c r="E437" s="38">
        <f>$AF437</f>
        <v>0</v>
      </c>
      <c r="F437" s="49"/>
      <c r="K437" s="3" t="s">
        <v>182</v>
      </c>
      <c r="AA437" s="40"/>
      <c r="AB437" s="7"/>
      <c r="AC437" s="40"/>
      <c r="AD437" s="7"/>
      <c r="AE437" s="40"/>
      <c r="AF437" s="7"/>
    </row>
    <row r="438" spans="1:11" ht="18" customHeight="1">
      <c r="A438" s="42" t="s">
        <v>1297</v>
      </c>
      <c r="B438" s="36"/>
      <c r="C438" s="36"/>
      <c r="D438" s="36"/>
      <c r="E438" s="36"/>
      <c r="F438" s="47"/>
      <c r="K438" s="3" t="s">
        <v>1297</v>
      </c>
    </row>
    <row r="439" spans="1:11" ht="18" customHeight="1">
      <c r="A439" s="42" t="s">
        <v>26</v>
      </c>
      <c r="B439" s="36"/>
      <c r="C439" s="36"/>
      <c r="D439" s="36"/>
      <c r="E439" s="36"/>
      <c r="F439" s="47"/>
      <c r="K439" s="3" t="s">
        <v>26</v>
      </c>
    </row>
    <row r="440" spans="1:11" ht="18" customHeight="1">
      <c r="A440" s="42" t="s">
        <v>1297</v>
      </c>
      <c r="B440" s="36"/>
      <c r="C440" s="36"/>
      <c r="D440" s="36"/>
      <c r="E440" s="36"/>
      <c r="F440" s="47"/>
      <c r="K440" s="3" t="s">
        <v>1297</v>
      </c>
    </row>
    <row r="441" spans="1:34" ht="18" customHeight="1">
      <c r="A441" s="44" t="str">
        <f>CONCATENATE("    재 료 비 :  _x001D_2,167.48_x001D_ / ",TEXT($AB441,"#,##0.00"),"  = ",TEXT($AF441,"#,##0.00"))</f>
        <v>    재 료 비 :  _x001D_2,167.48_x001D_ / 0.00  = 0.00</v>
      </c>
      <c r="B441" s="36">
        <f>SUM($C441,$D441,$E441)</f>
        <v>0</v>
      </c>
      <c r="C441" s="36">
        <f>$AF441</f>
        <v>0</v>
      </c>
      <c r="D441" s="36"/>
      <c r="E441" s="36"/>
      <c r="F441" s="47" t="s">
        <v>1297</v>
      </c>
      <c r="K441" s="3" t="s">
        <v>200</v>
      </c>
      <c r="AA441" s="40"/>
      <c r="AB441" s="8"/>
      <c r="AC441" s="40"/>
      <c r="AD441" s="7"/>
      <c r="AE441" s="41"/>
      <c r="AF441" s="8"/>
      <c r="AG441" s="41"/>
      <c r="AH441" s="7"/>
    </row>
    <row r="442" spans="1:11" ht="18" customHeight="1">
      <c r="A442" s="42" t="s">
        <v>1297</v>
      </c>
      <c r="B442" s="36"/>
      <c r="C442" s="36"/>
      <c r="D442" s="36"/>
      <c r="E442" s="36"/>
      <c r="F442" s="47"/>
      <c r="K442" s="3" t="s">
        <v>1297</v>
      </c>
    </row>
    <row r="443" spans="1:34" ht="18" customHeight="1">
      <c r="A443" s="44" t="str">
        <f>CONCATENATE("    노 무 비 :  _x001D_29,239_x001D_ / ",TEXT($AB443,"#,##0.00"),"  = ",TEXT($AF443,"#,##0.00"))</f>
        <v>    노 무 비 :  _x001D_29,239_x001D_ / 0.00  = 0.00</v>
      </c>
      <c r="B443" s="36">
        <f>SUM($C443,$D443,$E443)</f>
        <v>0</v>
      </c>
      <c r="C443" s="36"/>
      <c r="D443" s="36">
        <f>$AF443</f>
        <v>0</v>
      </c>
      <c r="E443" s="36"/>
      <c r="F443" s="47" t="s">
        <v>1297</v>
      </c>
      <c r="K443" s="3" t="s">
        <v>497</v>
      </c>
      <c r="AA443" s="40"/>
      <c r="AB443" s="8"/>
      <c r="AC443" s="40"/>
      <c r="AD443" s="7"/>
      <c r="AE443" s="41"/>
      <c r="AF443" s="8"/>
      <c r="AG443" s="41"/>
      <c r="AH443" s="7"/>
    </row>
    <row r="444" spans="1:11" ht="18" customHeight="1">
      <c r="A444" s="42" t="s">
        <v>1297</v>
      </c>
      <c r="B444" s="36"/>
      <c r="C444" s="36"/>
      <c r="D444" s="36"/>
      <c r="E444" s="36"/>
      <c r="F444" s="47"/>
      <c r="K444" s="3" t="s">
        <v>1297</v>
      </c>
    </row>
    <row r="445" spans="1:34" ht="18" customHeight="1">
      <c r="A445" s="44" t="str">
        <f>CONCATENATE("    경    비 :  _x001D_706_x001D_ / ",TEXT($AB445,"#,##0.00"),"  = ",TEXT($AF445,"#,##0.00"))</f>
        <v>    경    비 :  _x001D_706_x001D_ / 0.00  = 0.00</v>
      </c>
      <c r="B445" s="36">
        <f>SUM($C445,$D445,$E445)</f>
        <v>0</v>
      </c>
      <c r="C445" s="36"/>
      <c r="D445" s="36"/>
      <c r="E445" s="36">
        <f>$AF445</f>
        <v>0</v>
      </c>
      <c r="F445" s="47" t="s">
        <v>1297</v>
      </c>
      <c r="K445" s="3" t="s">
        <v>424</v>
      </c>
      <c r="AA445" s="40"/>
      <c r="AB445" s="8"/>
      <c r="AC445" s="40"/>
      <c r="AD445" s="7"/>
      <c r="AE445" s="41"/>
      <c r="AF445" s="8"/>
      <c r="AG445" s="41"/>
      <c r="AH445" s="7"/>
    </row>
    <row r="446" spans="1:11" ht="18" customHeight="1">
      <c r="A446" s="42" t="s">
        <v>1297</v>
      </c>
      <c r="B446" s="36"/>
      <c r="C446" s="36"/>
      <c r="D446" s="36"/>
      <c r="E446" s="36"/>
      <c r="F446" s="47"/>
      <c r="K446" s="3" t="s">
        <v>1297</v>
      </c>
    </row>
    <row r="447" spans="1:32" ht="18" customHeight="1">
      <c r="A447" s="42" t="s">
        <v>170</v>
      </c>
      <c r="B447" s="38">
        <f>SUM($C447,$D447,$E447)</f>
        <v>0</v>
      </c>
      <c r="C447" s="38">
        <f>$AB447</f>
        <v>0</v>
      </c>
      <c r="D447" s="38">
        <f>$AD447</f>
        <v>0</v>
      </c>
      <c r="E447" s="38">
        <f>$AF447</f>
        <v>0</v>
      </c>
      <c r="F447" s="49"/>
      <c r="K447" s="3" t="s">
        <v>182</v>
      </c>
      <c r="AA447" s="40"/>
      <c r="AB447" s="7"/>
      <c r="AC447" s="40"/>
      <c r="AD447" s="7"/>
      <c r="AE447" s="40"/>
      <c r="AF447" s="7"/>
    </row>
    <row r="448" spans="1:11" ht="18" customHeight="1">
      <c r="A448" s="42" t="s">
        <v>1297</v>
      </c>
      <c r="B448" s="36"/>
      <c r="C448" s="36"/>
      <c r="D448" s="36"/>
      <c r="E448" s="36"/>
      <c r="F448" s="47"/>
      <c r="K448" s="3" t="s">
        <v>1297</v>
      </c>
    </row>
    <row r="449" spans="1:11" ht="18" customHeight="1">
      <c r="A449" s="42" t="s">
        <v>870</v>
      </c>
      <c r="B449" s="36"/>
      <c r="C449" s="36"/>
      <c r="D449" s="36"/>
      <c r="E449" s="36"/>
      <c r="F449" s="47"/>
      <c r="K449" s="3" t="s">
        <v>870</v>
      </c>
    </row>
    <row r="450" spans="1:11" ht="18" customHeight="1">
      <c r="A450" s="42" t="s">
        <v>1297</v>
      </c>
      <c r="B450" s="36"/>
      <c r="C450" s="36"/>
      <c r="D450" s="36"/>
      <c r="E450" s="36"/>
      <c r="F450" s="47"/>
      <c r="K450" s="3" t="s">
        <v>1297</v>
      </c>
    </row>
    <row r="451" spans="1:34" ht="18" customHeight="1">
      <c r="A451" s="44" t="str">
        <f>CONCATENATE("    재 료 비 :  _x001D_6,683.34_x001D_ / ",TEXT($AB451,"#,##0.00"),"  = ",TEXT($AF451,"#,##0.00"))</f>
        <v>    재 료 비 :  _x001D_6,683.34_x001D_ / 0.00  = 0.00</v>
      </c>
      <c r="B451" s="36">
        <f>SUM($C451,$D451,$E451)</f>
        <v>0</v>
      </c>
      <c r="C451" s="36">
        <f>$AF451</f>
        <v>0</v>
      </c>
      <c r="D451" s="36"/>
      <c r="E451" s="36"/>
      <c r="F451" s="47" t="s">
        <v>1297</v>
      </c>
      <c r="K451" s="3" t="s">
        <v>1170</v>
      </c>
      <c r="AA451" s="40"/>
      <c r="AB451" s="8"/>
      <c r="AC451" s="40"/>
      <c r="AD451" s="7"/>
      <c r="AE451" s="41"/>
      <c r="AF451" s="8"/>
      <c r="AG451" s="41"/>
      <c r="AH451" s="7"/>
    </row>
    <row r="452" spans="1:11" ht="18" customHeight="1">
      <c r="A452" s="42" t="s">
        <v>1297</v>
      </c>
      <c r="B452" s="36"/>
      <c r="C452" s="36"/>
      <c r="D452" s="36"/>
      <c r="E452" s="36"/>
      <c r="F452" s="47"/>
      <c r="K452" s="3" t="s">
        <v>1297</v>
      </c>
    </row>
    <row r="453" spans="1:34" ht="18" customHeight="1">
      <c r="A453" s="44" t="str">
        <f>CONCATENATE("    노 무 비 :  _x001D_39,645_x001D_ / ",TEXT($AB453,"#,##0.00"),"  = ",TEXT($AF453,"#,##0.00"))</f>
        <v>    노 무 비 :  _x001D_39,645_x001D_ / 0.00  = 0.00</v>
      </c>
      <c r="B453" s="36">
        <f>SUM($C453,$D453,$E453)</f>
        <v>0</v>
      </c>
      <c r="C453" s="36"/>
      <c r="D453" s="36">
        <f>$AF453</f>
        <v>0</v>
      </c>
      <c r="E453" s="36"/>
      <c r="F453" s="47" t="s">
        <v>1297</v>
      </c>
      <c r="K453" s="3" t="s">
        <v>835</v>
      </c>
      <c r="AA453" s="40"/>
      <c r="AB453" s="8"/>
      <c r="AC453" s="40"/>
      <c r="AD453" s="7"/>
      <c r="AE453" s="41"/>
      <c r="AF453" s="8"/>
      <c r="AG453" s="41"/>
      <c r="AH453" s="7"/>
    </row>
    <row r="454" spans="1:11" ht="18" customHeight="1">
      <c r="A454" s="42" t="s">
        <v>1297</v>
      </c>
      <c r="B454" s="36"/>
      <c r="C454" s="36"/>
      <c r="D454" s="36"/>
      <c r="E454" s="36"/>
      <c r="F454" s="47"/>
      <c r="K454" s="3" t="s">
        <v>1297</v>
      </c>
    </row>
    <row r="455" spans="1:34" ht="18" customHeight="1">
      <c r="A455" s="44" t="str">
        <f>CONCATENATE("    경    비 :  _x001D_5,965_x001D_ / ",TEXT($AB455,"#,##0.00"),"  = ",TEXT($AF455,"#,##0.00"))</f>
        <v>    경    비 :  _x001D_5,965_x001D_ / 0.00  = 0.00</v>
      </c>
      <c r="B455" s="36">
        <f>SUM($C455,$D455,$E455)</f>
        <v>0</v>
      </c>
      <c r="C455" s="36"/>
      <c r="D455" s="36"/>
      <c r="E455" s="36">
        <f>$AF455</f>
        <v>0</v>
      </c>
      <c r="F455" s="47" t="s">
        <v>1297</v>
      </c>
      <c r="K455" s="3" t="s">
        <v>749</v>
      </c>
      <c r="AA455" s="40"/>
      <c r="AB455" s="8"/>
      <c r="AC455" s="40"/>
      <c r="AD455" s="7"/>
      <c r="AE455" s="41"/>
      <c r="AF455" s="8"/>
      <c r="AG455" s="41"/>
      <c r="AH455" s="7"/>
    </row>
    <row r="456" spans="1:11" ht="18" customHeight="1">
      <c r="A456" s="42" t="s">
        <v>1297</v>
      </c>
      <c r="B456" s="36"/>
      <c r="C456" s="36"/>
      <c r="D456" s="36"/>
      <c r="E456" s="36"/>
      <c r="F456" s="47"/>
      <c r="K456" s="3" t="s">
        <v>1297</v>
      </c>
    </row>
    <row r="457" spans="1:32" ht="18" customHeight="1">
      <c r="A457" s="42" t="s">
        <v>170</v>
      </c>
      <c r="B457" s="38">
        <f>SUM($C457,$D457,$E457)</f>
        <v>0</v>
      </c>
      <c r="C457" s="38">
        <f>$AB457</f>
        <v>0</v>
      </c>
      <c r="D457" s="38">
        <f>$AD457</f>
        <v>0</v>
      </c>
      <c r="E457" s="38">
        <f>$AF457</f>
        <v>0</v>
      </c>
      <c r="F457" s="49"/>
      <c r="K457" s="3" t="s">
        <v>182</v>
      </c>
      <c r="AA457" s="40"/>
      <c r="AB457" s="7"/>
      <c r="AC457" s="40"/>
      <c r="AD457" s="7"/>
      <c r="AE457" s="40"/>
      <c r="AF457" s="7"/>
    </row>
    <row r="458" spans="1:11" ht="18" customHeight="1">
      <c r="A458" s="42" t="s">
        <v>1297</v>
      </c>
      <c r="B458" s="36"/>
      <c r="C458" s="36"/>
      <c r="D458" s="36"/>
      <c r="E458" s="36"/>
      <c r="F458" s="47"/>
      <c r="K458" s="3" t="s">
        <v>1297</v>
      </c>
    </row>
    <row r="459" spans="1:11" ht="18" customHeight="1">
      <c r="A459" s="42" t="s">
        <v>1297</v>
      </c>
      <c r="B459" s="36"/>
      <c r="C459" s="36"/>
      <c r="D459" s="36"/>
      <c r="E459" s="36"/>
      <c r="F459" s="47"/>
      <c r="K459" s="3" t="s">
        <v>1297</v>
      </c>
    </row>
    <row r="460" spans="1:32" ht="18" customHeight="1">
      <c r="A460" s="42" t="s">
        <v>72</v>
      </c>
      <c r="B460" s="39">
        <f>SUM($C460,$D460,$E460)</f>
        <v>0</v>
      </c>
      <c r="C460" s="39">
        <f>$AB460</f>
        <v>0</v>
      </c>
      <c r="D460" s="39">
        <f>$AD460</f>
        <v>0</v>
      </c>
      <c r="E460" s="39">
        <f>$AF460</f>
        <v>0</v>
      </c>
      <c r="F460" s="51"/>
      <c r="K460" s="3" t="s">
        <v>970</v>
      </c>
      <c r="AA460" s="40"/>
      <c r="AB460" s="7"/>
      <c r="AC460" s="40"/>
      <c r="AD460" s="7"/>
      <c r="AE460" s="40"/>
      <c r="AF460" s="7"/>
    </row>
    <row r="461" spans="1:6" ht="18" customHeight="1">
      <c r="A461" s="42"/>
      <c r="B461" s="3"/>
      <c r="C461" s="3"/>
      <c r="D461" s="3"/>
      <c r="E461" s="3"/>
      <c r="F461" s="46"/>
    </row>
    <row r="462" spans="1:6" ht="18" customHeight="1">
      <c r="A462" s="45" t="s">
        <v>726</v>
      </c>
      <c r="B462" s="39">
        <f>SUM($C462,$D462,$E462)</f>
        <v>0</v>
      </c>
      <c r="C462" s="39">
        <f>TRUNC(SUM($AH451),0)</f>
        <v>0</v>
      </c>
      <c r="D462" s="39">
        <f>TRUNC(SUM($AH453),0)</f>
        <v>0</v>
      </c>
      <c r="E462" s="39">
        <f>TRUNC(SUM($AH455),0)</f>
        <v>0</v>
      </c>
      <c r="F462" s="50"/>
    </row>
    <row r="463" spans="1:6" ht="18" customHeight="1">
      <c r="A463" s="42"/>
      <c r="B463" s="3"/>
      <c r="C463" s="3"/>
      <c r="D463" s="3"/>
      <c r="E463" s="3"/>
      <c r="F463" s="46"/>
    </row>
    <row r="464" spans="1:26" ht="18" customHeight="1">
      <c r="A464" s="42" t="s">
        <v>1255</v>
      </c>
      <c r="B464" s="36">
        <f>$B485</f>
        <v>0</v>
      </c>
      <c r="C464" s="36">
        <f>$C485</f>
        <v>0</v>
      </c>
      <c r="D464" s="36">
        <f>$D485</f>
        <v>0</v>
      </c>
      <c r="E464" s="36">
        <v>0</v>
      </c>
      <c r="F464" s="46" t="s">
        <v>1297</v>
      </c>
      <c r="H464" t="s">
        <v>765</v>
      </c>
      <c r="K464">
        <v>1</v>
      </c>
      <c r="Y464" s="7" t="b">
        <f>EXACT($Z464,$B485)</f>
        <v>0</v>
      </c>
      <c r="Z464" s="39"/>
    </row>
    <row r="465" spans="1:6" ht="18" customHeight="1">
      <c r="A465" s="43"/>
      <c r="B465" s="3"/>
      <c r="C465" s="3"/>
      <c r="D465" s="3"/>
      <c r="E465" s="3"/>
      <c r="F465" s="46"/>
    </row>
    <row r="466" spans="1:11" ht="18" customHeight="1">
      <c r="A466" s="42" t="s">
        <v>1297</v>
      </c>
      <c r="B466" s="3"/>
      <c r="C466" s="3"/>
      <c r="D466" s="3"/>
      <c r="E466" s="3"/>
      <c r="F466" s="46"/>
      <c r="I466" t="s">
        <v>166</v>
      </c>
      <c r="K466" t="s">
        <v>1083</v>
      </c>
    </row>
    <row r="467" spans="1:11" ht="18" customHeight="1">
      <c r="A467" s="42" t="s">
        <v>1109</v>
      </c>
      <c r="B467" s="36"/>
      <c r="C467" s="36"/>
      <c r="D467" s="36"/>
      <c r="E467" s="36"/>
      <c r="F467" s="47"/>
      <c r="K467" s="3" t="s">
        <v>1135</v>
      </c>
    </row>
    <row r="468" spans="1:11" ht="18" customHeight="1">
      <c r="A468" s="42" t="s">
        <v>1297</v>
      </c>
      <c r="B468" s="36"/>
      <c r="C468" s="36"/>
      <c r="D468" s="36"/>
      <c r="E468" s="36"/>
      <c r="F468" s="47"/>
      <c r="K468" s="3" t="s">
        <v>1297</v>
      </c>
    </row>
    <row r="469" spans="1:11" ht="18" customHeight="1">
      <c r="A469" s="42" t="s">
        <v>770</v>
      </c>
      <c r="B469" s="36"/>
      <c r="C469" s="36"/>
      <c r="D469" s="36"/>
      <c r="E469" s="36"/>
      <c r="F469" s="47"/>
      <c r="K469" s="3" t="s">
        <v>691</v>
      </c>
    </row>
    <row r="470" spans="1:11" ht="18" customHeight="1">
      <c r="A470" s="42" t="s">
        <v>1297</v>
      </c>
      <c r="B470" s="36"/>
      <c r="C470" s="36"/>
      <c r="D470" s="36"/>
      <c r="E470" s="36"/>
      <c r="F470" s="47"/>
      <c r="K470" s="3" t="s">
        <v>1297</v>
      </c>
    </row>
    <row r="471" spans="1:30" ht="18" customHeight="1">
      <c r="A471" s="44" t="str">
        <f>CONCATENATE("     PE안전휀스(1.5X0.9X0.41) :  _x001D_16,000_x001D_ / 15 / 1.5 =",TEXT($AB471,"#,##0.00"))</f>
        <v>     PE안전휀스(1.5X0.9X0.41) :  _x001D_16,000_x001D_ / 15 / 1.5 =0.00</v>
      </c>
      <c r="B471" s="36">
        <f>SUM($C471,$D471,$E471)</f>
        <v>0</v>
      </c>
      <c r="C471" s="36">
        <f>$AB471</f>
        <v>0</v>
      </c>
      <c r="D471" s="36"/>
      <c r="E471" s="36"/>
      <c r="F471" s="47" t="s">
        <v>1297</v>
      </c>
      <c r="K471" s="3" t="s">
        <v>953</v>
      </c>
      <c r="AA471" s="41"/>
      <c r="AB471" s="8"/>
      <c r="AC471" s="41"/>
      <c r="AD471" s="7"/>
    </row>
    <row r="472" spans="1:11" ht="18" customHeight="1">
      <c r="A472" s="42" t="s">
        <v>1297</v>
      </c>
      <c r="B472" s="36"/>
      <c r="C472" s="36"/>
      <c r="D472" s="36"/>
      <c r="E472" s="36"/>
      <c r="F472" s="47"/>
      <c r="K472" s="3" t="s">
        <v>1297</v>
      </c>
    </row>
    <row r="473" spans="1:28" ht="18" customHeight="1">
      <c r="A473" s="42" t="s">
        <v>1180</v>
      </c>
      <c r="B473" s="37">
        <f>SUM($C473,$D473,$E473)</f>
        <v>0</v>
      </c>
      <c r="C473" s="37">
        <f>$AB473</f>
        <v>0</v>
      </c>
      <c r="D473" s="37">
        <f>$AD473</f>
        <v>0</v>
      </c>
      <c r="E473" s="37">
        <f>$AF473</f>
        <v>0</v>
      </c>
      <c r="F473" s="48"/>
      <c r="K473" s="3" t="s">
        <v>378</v>
      </c>
      <c r="AA473" s="40"/>
      <c r="AB473" s="7"/>
    </row>
    <row r="474" spans="1:11" ht="18" customHeight="1">
      <c r="A474" s="42" t="s">
        <v>1297</v>
      </c>
      <c r="B474" s="36"/>
      <c r="C474" s="36"/>
      <c r="D474" s="36"/>
      <c r="E474" s="36"/>
      <c r="F474" s="47"/>
      <c r="K474" s="3" t="s">
        <v>1297</v>
      </c>
    </row>
    <row r="475" spans="1:11" ht="18" customHeight="1">
      <c r="A475" s="42" t="s">
        <v>1297</v>
      </c>
      <c r="B475" s="36"/>
      <c r="C475" s="36"/>
      <c r="D475" s="36"/>
      <c r="E475" s="36"/>
      <c r="F475" s="47"/>
      <c r="K475" s="3" t="s">
        <v>1297</v>
      </c>
    </row>
    <row r="476" spans="1:11" ht="18" customHeight="1">
      <c r="A476" s="42" t="s">
        <v>965</v>
      </c>
      <c r="B476" s="36"/>
      <c r="C476" s="36"/>
      <c r="D476" s="36"/>
      <c r="E476" s="36"/>
      <c r="F476" s="47"/>
      <c r="K476" s="3" t="s">
        <v>965</v>
      </c>
    </row>
    <row r="477" spans="1:11" ht="18" customHeight="1">
      <c r="A477" s="42" t="s">
        <v>1297</v>
      </c>
      <c r="B477" s="36"/>
      <c r="C477" s="36"/>
      <c r="D477" s="36"/>
      <c r="E477" s="36"/>
      <c r="F477" s="47"/>
      <c r="K477" s="3" t="s">
        <v>1297</v>
      </c>
    </row>
    <row r="478" spans="1:30" ht="18" customHeight="1">
      <c r="A478" s="44" t="str">
        <f>CONCATENATE("    보통인부 :  0.02 인  * _x001D_148,510_x001D_ / 1.5  =",TEXT($AB478,"#,##0.00"))</f>
        <v>    보통인부 :  0.02 인  * _x001D_148,510_x001D_ / 1.5  =0.00</v>
      </c>
      <c r="B478" s="36">
        <f>SUM($C478,$D478,$E478)</f>
        <v>0</v>
      </c>
      <c r="C478" s="36"/>
      <c r="D478" s="36">
        <f>$AB478</f>
        <v>0</v>
      </c>
      <c r="E478" s="36"/>
      <c r="F478" s="47" t="s">
        <v>1297</v>
      </c>
      <c r="K478" s="3" t="s">
        <v>187</v>
      </c>
      <c r="AA478" s="41"/>
      <c r="AB478" s="8"/>
      <c r="AC478" s="41"/>
      <c r="AD478" s="7"/>
    </row>
    <row r="479" spans="1:11" ht="18" customHeight="1">
      <c r="A479" s="42" t="s">
        <v>1297</v>
      </c>
      <c r="B479" s="36"/>
      <c r="C479" s="36"/>
      <c r="D479" s="36"/>
      <c r="E479" s="36"/>
      <c r="F479" s="47"/>
      <c r="K479" s="3" t="s">
        <v>1297</v>
      </c>
    </row>
    <row r="480" spans="1:30" ht="18" customHeight="1">
      <c r="A480" s="42" t="s">
        <v>829</v>
      </c>
      <c r="B480" s="37">
        <f>SUM($C480,$D480,$E480)</f>
        <v>0</v>
      </c>
      <c r="C480" s="37">
        <f>$AB480</f>
        <v>0</v>
      </c>
      <c r="D480" s="37">
        <f>$AD480</f>
        <v>0</v>
      </c>
      <c r="E480" s="37">
        <f>$AF480</f>
        <v>0</v>
      </c>
      <c r="F480" s="48"/>
      <c r="K480" s="3" t="s">
        <v>724</v>
      </c>
      <c r="AA480" s="40"/>
      <c r="AB480" s="7"/>
      <c r="AC480" s="40"/>
      <c r="AD480" s="7"/>
    </row>
    <row r="481" spans="1:11" ht="18" customHeight="1">
      <c r="A481" s="42" t="s">
        <v>1297</v>
      </c>
      <c r="B481" s="36"/>
      <c r="C481" s="36"/>
      <c r="D481" s="36"/>
      <c r="E481" s="36"/>
      <c r="F481" s="47"/>
      <c r="K481" s="3" t="s">
        <v>1297</v>
      </c>
    </row>
    <row r="482" spans="1:11" ht="18" customHeight="1">
      <c r="A482" s="42" t="s">
        <v>1297</v>
      </c>
      <c r="B482" s="36"/>
      <c r="C482" s="36"/>
      <c r="D482" s="36"/>
      <c r="E482" s="36"/>
      <c r="F482" s="47"/>
      <c r="K482" s="3" t="s">
        <v>1297</v>
      </c>
    </row>
    <row r="483" spans="1:30" ht="18" customHeight="1">
      <c r="A483" s="42" t="s">
        <v>170</v>
      </c>
      <c r="B483" s="38">
        <f>SUM($C483,$D483,$E483)</f>
        <v>0</v>
      </c>
      <c r="C483" s="38">
        <f>$AB483</f>
        <v>0</v>
      </c>
      <c r="D483" s="38">
        <f>$AD483</f>
        <v>0</v>
      </c>
      <c r="E483" s="38">
        <f>$AF483</f>
        <v>0</v>
      </c>
      <c r="F483" s="49"/>
      <c r="K483" s="3" t="s">
        <v>182</v>
      </c>
      <c r="AA483" s="40"/>
      <c r="AB483" s="7"/>
      <c r="AC483" s="40"/>
      <c r="AD483" s="7"/>
    </row>
    <row r="484" spans="1:6" ht="18" customHeight="1">
      <c r="A484" s="42"/>
      <c r="B484" s="3"/>
      <c r="C484" s="3"/>
      <c r="D484" s="3"/>
      <c r="E484" s="3"/>
      <c r="F484" s="46"/>
    </row>
    <row r="485" spans="1:6" ht="18" customHeight="1">
      <c r="A485" s="45" t="s">
        <v>726</v>
      </c>
      <c r="B485" s="39">
        <f>SUM($C485,$D485,$E485)</f>
        <v>0</v>
      </c>
      <c r="C485" s="39">
        <f>TRUNC(SUM($AD471),0)</f>
        <v>0</v>
      </c>
      <c r="D485" s="39">
        <f>TRUNC(SUM($AD478),0)</f>
        <v>0</v>
      </c>
      <c r="E485" s="39">
        <v>0</v>
      </c>
      <c r="F485" s="50"/>
    </row>
    <row r="486" spans="1:6" ht="18" customHeight="1">
      <c r="A486" s="42"/>
      <c r="B486" s="3"/>
      <c r="C486" s="3"/>
      <c r="D486" s="3"/>
      <c r="E486" s="3"/>
      <c r="F486" s="46"/>
    </row>
    <row r="487" spans="1:26" ht="18" customHeight="1">
      <c r="A487" s="42" t="s">
        <v>1110</v>
      </c>
      <c r="B487" s="36">
        <f>$B572</f>
        <v>0</v>
      </c>
      <c r="C487" s="36">
        <v>0</v>
      </c>
      <c r="D487" s="36">
        <v>0</v>
      </c>
      <c r="E487" s="36">
        <f>$E572</f>
        <v>0</v>
      </c>
      <c r="F487" s="46" t="s">
        <v>1297</v>
      </c>
      <c r="H487" t="s">
        <v>457</v>
      </c>
      <c r="K487">
        <v>1</v>
      </c>
      <c r="Y487" s="7" t="b">
        <f>EXACT($Z487,$B572)</f>
        <v>0</v>
      </c>
      <c r="Z487" s="39"/>
    </row>
    <row r="488" spans="1:6" ht="18" customHeight="1">
      <c r="A488" s="43"/>
      <c r="B488" s="3"/>
      <c r="C488" s="3"/>
      <c r="D488" s="3"/>
      <c r="E488" s="3"/>
      <c r="F488" s="46"/>
    </row>
    <row r="489" spans="1:11" ht="18" customHeight="1">
      <c r="A489" s="42" t="s">
        <v>1297</v>
      </c>
      <c r="B489" s="3"/>
      <c r="C489" s="3"/>
      <c r="D489" s="3"/>
      <c r="E489" s="3"/>
      <c r="F489" s="46"/>
      <c r="I489" t="s">
        <v>166</v>
      </c>
      <c r="K489" t="s">
        <v>1083</v>
      </c>
    </row>
    <row r="490" spans="1:11" ht="18" customHeight="1">
      <c r="A490" s="42" t="s">
        <v>634</v>
      </c>
      <c r="B490" s="36"/>
      <c r="C490" s="36"/>
      <c r="D490" s="36"/>
      <c r="E490" s="36"/>
      <c r="F490" s="47"/>
      <c r="K490" s="3" t="s">
        <v>634</v>
      </c>
    </row>
    <row r="491" spans="1:11" ht="18" customHeight="1">
      <c r="A491" s="42" t="s">
        <v>1297</v>
      </c>
      <c r="B491" s="36"/>
      <c r="C491" s="36"/>
      <c r="D491" s="36"/>
      <c r="E491" s="36"/>
      <c r="F491" s="47"/>
      <c r="K491" s="3" t="s">
        <v>1297</v>
      </c>
    </row>
    <row r="492" spans="1:30" ht="18" customHeight="1">
      <c r="A492" s="44" t="str">
        <f>CONCATENATE("   - 지    방    도 :  L1=",TEXT($AB492,"#,##0.00")," KM")</f>
        <v>   - 지    방    도 :  L1=0.00 KM</v>
      </c>
      <c r="B492" s="36"/>
      <c r="C492" s="36"/>
      <c r="D492" s="36"/>
      <c r="E492" s="36"/>
      <c r="F492" s="47"/>
      <c r="K492" s="10" t="str">
        <f>SUBSTITUTE(SUBSTITUTE("  _x001D_- 지    방    도 : _x001D_L1 =  5_x001D_KM_x001D_","5",TEXT($AB492,"#,##0"),1),"_x001D_","'")</f>
        <v>  '- 지    방    도 : 'L1 =  0'KM'</v>
      </c>
      <c r="AA492" s="40"/>
      <c r="AB492" s="6"/>
      <c r="AC492" s="40"/>
      <c r="AD492" s="7"/>
    </row>
    <row r="493" spans="1:11" ht="18" customHeight="1">
      <c r="A493" s="42" t="s">
        <v>1297</v>
      </c>
      <c r="B493" s="36"/>
      <c r="C493" s="36"/>
      <c r="D493" s="36"/>
      <c r="E493" s="36"/>
      <c r="F493" s="47"/>
      <c r="K493" s="3" t="s">
        <v>1297</v>
      </c>
    </row>
    <row r="494" spans="1:11" ht="18" customHeight="1">
      <c r="A494" s="42" t="s">
        <v>500</v>
      </c>
      <c r="B494" s="36"/>
      <c r="C494" s="36"/>
      <c r="D494" s="36"/>
      <c r="E494" s="36"/>
      <c r="F494" s="47"/>
      <c r="K494" s="3" t="s">
        <v>805</v>
      </c>
    </row>
    <row r="495" spans="1:11" ht="18" customHeight="1">
      <c r="A495" s="42" t="s">
        <v>620</v>
      </c>
      <c r="B495" s="36"/>
      <c r="C495" s="36"/>
      <c r="D495" s="36"/>
      <c r="E495" s="36"/>
      <c r="F495" s="47"/>
      <c r="K495" s="3" t="s">
        <v>89</v>
      </c>
    </row>
    <row r="496" spans="1:11" ht="18" customHeight="1">
      <c r="A496" s="42" t="s">
        <v>1154</v>
      </c>
      <c r="B496" s="36"/>
      <c r="C496" s="36"/>
      <c r="D496" s="36"/>
      <c r="E496" s="36"/>
      <c r="F496" s="47"/>
      <c r="K496" s="3" t="s">
        <v>1281</v>
      </c>
    </row>
    <row r="497" spans="1:11" ht="18" customHeight="1">
      <c r="A497" s="42" t="s">
        <v>519</v>
      </c>
      <c r="B497" s="36"/>
      <c r="C497" s="36"/>
      <c r="D497" s="36"/>
      <c r="E497" s="36"/>
      <c r="F497" s="47"/>
      <c r="K497" s="3" t="s">
        <v>751</v>
      </c>
    </row>
    <row r="498" spans="1:11" ht="18" customHeight="1">
      <c r="A498" s="42" t="s">
        <v>624</v>
      </c>
      <c r="B498" s="36"/>
      <c r="C498" s="36"/>
      <c r="D498" s="36"/>
      <c r="E498" s="36"/>
      <c r="F498" s="47"/>
      <c r="K498" s="3" t="s">
        <v>1066</v>
      </c>
    </row>
    <row r="499" spans="1:11" ht="18" customHeight="1">
      <c r="A499" s="42" t="s">
        <v>823</v>
      </c>
      <c r="B499" s="36"/>
      <c r="C499" s="36"/>
      <c r="D499" s="36"/>
      <c r="E499" s="36"/>
      <c r="F499" s="47"/>
      <c r="K499" s="3" t="s">
        <v>313</v>
      </c>
    </row>
    <row r="500" spans="1:11" ht="18" customHeight="1">
      <c r="A500" s="42" t="s">
        <v>514</v>
      </c>
      <c r="B500" s="36"/>
      <c r="C500" s="36"/>
      <c r="D500" s="36"/>
      <c r="E500" s="36"/>
      <c r="F500" s="47"/>
      <c r="K500" s="3" t="s">
        <v>931</v>
      </c>
    </row>
    <row r="501" spans="1:11" ht="18" customHeight="1">
      <c r="A501" s="42" t="s">
        <v>899</v>
      </c>
      <c r="B501" s="36"/>
      <c r="C501" s="36"/>
      <c r="D501" s="36"/>
      <c r="E501" s="36"/>
      <c r="F501" s="47"/>
      <c r="K501" s="3" t="s">
        <v>1168</v>
      </c>
    </row>
    <row r="502" spans="1:11" ht="18" customHeight="1">
      <c r="A502" s="42" t="s">
        <v>45</v>
      </c>
      <c r="B502" s="36"/>
      <c r="C502" s="36"/>
      <c r="D502" s="36"/>
      <c r="E502" s="36"/>
      <c r="F502" s="47"/>
      <c r="K502" s="3" t="s">
        <v>773</v>
      </c>
    </row>
    <row r="503" spans="1:11" ht="18" customHeight="1">
      <c r="A503" s="42" t="s">
        <v>600</v>
      </c>
      <c r="B503" s="36"/>
      <c r="C503" s="36"/>
      <c r="D503" s="36"/>
      <c r="E503" s="36"/>
      <c r="F503" s="47"/>
      <c r="K503" s="3" t="s">
        <v>308</v>
      </c>
    </row>
    <row r="504" spans="1:11" ht="18" customHeight="1">
      <c r="A504" s="42" t="s">
        <v>157</v>
      </c>
      <c r="B504" s="36"/>
      <c r="C504" s="36"/>
      <c r="D504" s="36"/>
      <c r="E504" s="36"/>
      <c r="F504" s="47"/>
      <c r="K504" s="3" t="s">
        <v>65</v>
      </c>
    </row>
    <row r="505" spans="1:11" ht="18" customHeight="1">
      <c r="A505" s="42" t="s">
        <v>502</v>
      </c>
      <c r="B505" s="36"/>
      <c r="C505" s="36"/>
      <c r="D505" s="36"/>
      <c r="E505" s="36"/>
      <c r="F505" s="47"/>
      <c r="K505" s="3" t="s">
        <v>978</v>
      </c>
    </row>
    <row r="506" spans="1:11" ht="18" customHeight="1">
      <c r="A506" s="42" t="s">
        <v>730</v>
      </c>
      <c r="B506" s="36"/>
      <c r="C506" s="36"/>
      <c r="D506" s="36"/>
      <c r="E506" s="36"/>
      <c r="F506" s="47"/>
      <c r="K506" s="3" t="s">
        <v>1138</v>
      </c>
    </row>
    <row r="507" spans="1:11" ht="18" customHeight="1">
      <c r="A507" s="42" t="s">
        <v>1297</v>
      </c>
      <c r="B507" s="36"/>
      <c r="C507" s="36"/>
      <c r="D507" s="36"/>
      <c r="E507" s="36"/>
      <c r="F507" s="47"/>
      <c r="K507" s="3" t="s">
        <v>1297</v>
      </c>
    </row>
    <row r="508" spans="1:11" ht="18" customHeight="1">
      <c r="A508" s="42" t="s">
        <v>1297</v>
      </c>
      <c r="B508" s="36"/>
      <c r="C508" s="36"/>
      <c r="D508" s="36"/>
      <c r="E508" s="36"/>
      <c r="F508" s="47"/>
      <c r="K508" s="3" t="s">
        <v>1297</v>
      </c>
    </row>
    <row r="509" spans="1:30" ht="18" customHeight="1">
      <c r="A509" s="44" t="str">
        <f>CONCATENATE("1. 트레일러 (20 TON) - ",TEXT($AB509,"#,##0.00"),"대")</f>
        <v>1. 트레일러 (20 TON) - 0.00대</v>
      </c>
      <c r="B509" s="36"/>
      <c r="C509" s="36"/>
      <c r="D509" s="36"/>
      <c r="E509" s="36"/>
      <c r="F509" s="47"/>
      <c r="K509" s="3" t="s">
        <v>791</v>
      </c>
      <c r="AA509" s="40"/>
      <c r="AB509" s="6"/>
      <c r="AC509" s="40"/>
      <c r="AD509" s="7"/>
    </row>
    <row r="510" spans="1:11" ht="18" customHeight="1">
      <c r="A510" s="42" t="s">
        <v>1297</v>
      </c>
      <c r="B510" s="36"/>
      <c r="C510" s="36"/>
      <c r="D510" s="36"/>
      <c r="E510" s="36"/>
      <c r="F510" s="47"/>
      <c r="K510" s="3" t="s">
        <v>1297</v>
      </c>
    </row>
    <row r="511" spans="1:30" ht="18" customHeight="1">
      <c r="A511" s="44" t="str">
        <f>CONCATENATE("    왕복 2회(공사시작,공사종료) : A=",TEXT($AB511,"#,##0.00")," 회")</f>
        <v>    왕복 2회(공사시작,공사종료) : A=0.00 회</v>
      </c>
      <c r="B511" s="36"/>
      <c r="C511" s="36"/>
      <c r="D511" s="36"/>
      <c r="E511" s="36"/>
      <c r="F511" s="47"/>
      <c r="K511" s="10" t="str">
        <f>SUBSTITUTE(SUBSTITUTE("   _x001D_왕복 2회(공사시작,공사종료) :_x001D_A=2_x001D_회_x001D_","2",TEXT($AB511,"#,##0"),1),"_x001D_","'")</f>
        <v>   '왕복 0회(공사시작,공사종료) :'A=2'회'</v>
      </c>
      <c r="AA511" s="40"/>
      <c r="AB511" s="6"/>
      <c r="AC511" s="40"/>
      <c r="AD511" s="7"/>
    </row>
    <row r="512" spans="1:30" ht="18" customHeight="1">
      <c r="A512" s="44" t="str">
        <f>CONCATENATE("  40 MIN  / 60 =",TEXT($AB512,"#,##0.00")," HR ")</f>
        <v>  40 MIN  / 60 =0.00 HR </v>
      </c>
      <c r="B512" s="36">
        <f>SUM($C512,$D512,$E512)</f>
        <v>0</v>
      </c>
      <c r="C512" s="36"/>
      <c r="D512" s="36"/>
      <c r="E512" s="36"/>
      <c r="F512" s="47"/>
      <c r="K512" s="3" t="s">
        <v>366</v>
      </c>
      <c r="AA512" s="40"/>
      <c r="AB512" s="8"/>
      <c r="AC512" s="40"/>
      <c r="AD512" s="7"/>
    </row>
    <row r="513" spans="1:42" ht="18" customHeight="1">
      <c r="A513" s="42" t="s">
        <v>1297</v>
      </c>
      <c r="B513" s="36"/>
      <c r="C513" s="36"/>
      <c r="D513" s="36"/>
      <c r="E513" s="36"/>
      <c r="F513" s="47"/>
      <c r="K513" s="10" t="str">
        <f>SUBSTITUTE(SUBSTITUTE(SUBSTITUTE(SUBSTITUTE(".V1=50, V2=40, V3=20, V4=10","40",TEXT($AF513,"#,##0"),1),"20",TEXT($AJ513,"#,##0"),1),"10",TEXT($AN513,"#,##0"),1),"_x001D_","'")</f>
        <v>.V1=50, V2=0, V3=0, V4=0</v>
      </c>
      <c r="AA513" s="40"/>
      <c r="AB513" s="6"/>
      <c r="AC513" s="40"/>
      <c r="AD513" s="7"/>
      <c r="AE513" s="40"/>
      <c r="AF513" s="6"/>
      <c r="AG513" s="40"/>
      <c r="AH513" s="7"/>
      <c r="AI513" s="40"/>
      <c r="AJ513" s="6"/>
      <c r="AK513" s="40"/>
      <c r="AL513" s="7"/>
      <c r="AM513" s="40"/>
      <c r="AN513" s="6"/>
      <c r="AO513" s="40"/>
      <c r="AP513" s="7"/>
    </row>
    <row r="514" spans="1:42" ht="18" customHeight="1">
      <c r="A514" s="44" t="str">
        <f>CONCATENATE("   T2 = (",TEXT($AB514,"#,##0.00"),"/",TEXT($AF514,"#,##0.00"),")*2 =",TEXT($AN514,"#,##0.00")," HR ")</f>
        <v>   T2 = (0.00/0.00)*2 =0.00 HR </v>
      </c>
      <c r="B514" s="36">
        <f>SUM($C514,$D514,$E514)</f>
        <v>0</v>
      </c>
      <c r="C514" s="36"/>
      <c r="D514" s="36"/>
      <c r="E514" s="36"/>
      <c r="F514" s="47"/>
      <c r="K514" s="3" t="s">
        <v>645</v>
      </c>
      <c r="AA514" s="40"/>
      <c r="AB514" s="8"/>
      <c r="AC514" s="40"/>
      <c r="AD514" s="7"/>
      <c r="AE514" s="40"/>
      <c r="AF514" s="8"/>
      <c r="AG514" s="40"/>
      <c r="AH514" s="7"/>
      <c r="AI514" s="40"/>
      <c r="AJ514" s="8"/>
      <c r="AK514" s="40"/>
      <c r="AL514" s="7"/>
      <c r="AM514" s="40"/>
      <c r="AN514" s="8"/>
      <c r="AO514" s="40"/>
      <c r="AP514" s="7"/>
    </row>
    <row r="515" spans="1:11" ht="18" customHeight="1">
      <c r="A515" s="42" t="s">
        <v>1297</v>
      </c>
      <c r="B515" s="36"/>
      <c r="C515" s="36"/>
      <c r="D515" s="36"/>
      <c r="E515" s="36"/>
      <c r="F515" s="47"/>
      <c r="K515" s="3" t="s">
        <v>1297</v>
      </c>
    </row>
    <row r="516" spans="1:42" ht="18" customHeight="1">
      <c r="A516" s="44" t="str">
        <f>CONCATENATE("   CM = ",TEXT($AB516,"#,##0.00")," + ",TEXT($AF516,"#,##0.00")," =",TEXT($AN516,"#,##0.00")," HR ")</f>
        <v>   CM = 0.00 + 0.00 =0.00 HR </v>
      </c>
      <c r="B516" s="36">
        <f>SUM($C516,$D516,$E516)</f>
        <v>0</v>
      </c>
      <c r="C516" s="36"/>
      <c r="D516" s="36"/>
      <c r="E516" s="36"/>
      <c r="F516" s="47"/>
      <c r="K516" s="3" t="s">
        <v>629</v>
      </c>
      <c r="AA516" s="40"/>
      <c r="AB516" s="8"/>
      <c r="AC516" s="40"/>
      <c r="AD516" s="7"/>
      <c r="AE516" s="40"/>
      <c r="AF516" s="8"/>
      <c r="AG516" s="40"/>
      <c r="AH516" s="7"/>
      <c r="AI516" s="40"/>
      <c r="AJ516" s="8"/>
      <c r="AK516" s="40"/>
      <c r="AL516" s="7"/>
      <c r="AM516" s="40"/>
      <c r="AN516" s="8"/>
      <c r="AO516" s="40"/>
      <c r="AP516" s="7"/>
    </row>
    <row r="517" spans="1:11" ht="18" customHeight="1">
      <c r="A517" s="42" t="s">
        <v>1297</v>
      </c>
      <c r="B517" s="36"/>
      <c r="C517" s="36"/>
      <c r="D517" s="36"/>
      <c r="E517" s="36"/>
      <c r="F517" s="47"/>
      <c r="K517" s="3" t="s">
        <v>1297</v>
      </c>
    </row>
    <row r="518" spans="1:42" ht="18" customHeight="1">
      <c r="A518" s="44" t="str">
        <f>CONCATENATE("    재 료 비 :  _x001D_38,301.45_x001D_ * ",TEXT($AB518,"#,##0.00"),"*",TEXT($AF518,"#,##0.00"),"*",TEXT($AJ518,"#,##0.00"),"=",TEXT($AN518,"#,##0.00"))</f>
        <v>    재 료 비 :  _x001D_38,301.45_x001D_ * 0.00*0.00*0.00=0.00</v>
      </c>
      <c r="B518" s="36">
        <f>SUM($C518,$D518,$E518)</f>
        <v>0</v>
      </c>
      <c r="C518" s="36"/>
      <c r="D518" s="36"/>
      <c r="E518" s="36">
        <f>$AN518</f>
        <v>0</v>
      </c>
      <c r="F518" s="47" t="s">
        <v>1297</v>
      </c>
      <c r="K518" s="3" t="s">
        <v>141</v>
      </c>
      <c r="AA518" s="40"/>
      <c r="AB518" s="8"/>
      <c r="AC518" s="40"/>
      <c r="AD518" s="7"/>
      <c r="AE518" s="40"/>
      <c r="AF518" s="8"/>
      <c r="AG518" s="40"/>
      <c r="AH518" s="7"/>
      <c r="AI518" s="40"/>
      <c r="AJ518" s="8"/>
      <c r="AK518" s="40"/>
      <c r="AL518" s="7"/>
      <c r="AM518" s="41"/>
      <c r="AN518" s="8"/>
      <c r="AO518" s="41"/>
      <c r="AP518" s="7"/>
    </row>
    <row r="519" spans="1:11" ht="18" customHeight="1">
      <c r="A519" s="42" t="s">
        <v>1297</v>
      </c>
      <c r="B519" s="36"/>
      <c r="C519" s="36"/>
      <c r="D519" s="36"/>
      <c r="E519" s="36"/>
      <c r="F519" s="47"/>
      <c r="K519" s="3" t="s">
        <v>1297</v>
      </c>
    </row>
    <row r="520" spans="1:42" ht="18" customHeight="1">
      <c r="A520" s="44" t="str">
        <f>CONCATENATE("    노 무 비 :  _x001D_47,849_x001D_ * ",TEXT($AB520,"#,##0.00"),"*",TEXT($AF520,"#,##0.00"),"*",TEXT($AJ520,"#,##0.00"),"=",TEXT($AN520,"#,##0.00"))</f>
        <v>    노 무 비 :  _x001D_47,849_x001D_ * 0.00*0.00*0.00=0.00</v>
      </c>
      <c r="B520" s="36">
        <f>SUM($C520,$D520,$E520)</f>
        <v>0</v>
      </c>
      <c r="C520" s="36"/>
      <c r="D520" s="36"/>
      <c r="E520" s="36">
        <f>$AN520</f>
        <v>0</v>
      </c>
      <c r="F520" s="47" t="s">
        <v>1297</v>
      </c>
      <c r="K520" s="3" t="s">
        <v>1246</v>
      </c>
      <c r="AA520" s="40"/>
      <c r="AB520" s="8"/>
      <c r="AC520" s="40"/>
      <c r="AD520" s="7"/>
      <c r="AE520" s="40"/>
      <c r="AF520" s="8"/>
      <c r="AG520" s="40"/>
      <c r="AH520" s="7"/>
      <c r="AI520" s="40"/>
      <c r="AJ520" s="8"/>
      <c r="AK520" s="40"/>
      <c r="AL520" s="7"/>
      <c r="AM520" s="41"/>
      <c r="AN520" s="8"/>
      <c r="AO520" s="41"/>
      <c r="AP520" s="7"/>
    </row>
    <row r="521" spans="1:11" ht="18" customHeight="1">
      <c r="A521" s="42" t="s">
        <v>1297</v>
      </c>
      <c r="B521" s="36"/>
      <c r="C521" s="36"/>
      <c r="D521" s="36"/>
      <c r="E521" s="36"/>
      <c r="F521" s="47"/>
      <c r="K521" s="3" t="s">
        <v>1297</v>
      </c>
    </row>
    <row r="522" spans="1:42" ht="18" customHeight="1">
      <c r="A522" s="44" t="str">
        <f>CONCATENATE("    경    비 :  _x001D_15,608_x001D_ * ",TEXT($AB522,"#,##0.00"),"*",TEXT($AF522,"#,##0.00"),"*",TEXT($AJ522,"#,##0.00"),"=",TEXT($AN522,"#,##0.00"))</f>
        <v>    경    비 :  _x001D_15,608_x001D_ * 0.00*0.00*0.00=0.00</v>
      </c>
      <c r="B522" s="36">
        <f>SUM($C522,$D522,$E522)</f>
        <v>0</v>
      </c>
      <c r="C522" s="36"/>
      <c r="D522" s="36"/>
      <c r="E522" s="36">
        <f>$AN522</f>
        <v>0</v>
      </c>
      <c r="F522" s="47" t="s">
        <v>1297</v>
      </c>
      <c r="K522" s="3" t="s">
        <v>156</v>
      </c>
      <c r="AA522" s="40"/>
      <c r="AB522" s="8"/>
      <c r="AC522" s="40"/>
      <c r="AD522" s="7"/>
      <c r="AE522" s="40"/>
      <c r="AF522" s="8"/>
      <c r="AG522" s="40"/>
      <c r="AH522" s="7"/>
      <c r="AI522" s="40"/>
      <c r="AJ522" s="8"/>
      <c r="AK522" s="40"/>
      <c r="AL522" s="7"/>
      <c r="AM522" s="41"/>
      <c r="AN522" s="8"/>
      <c r="AO522" s="41"/>
      <c r="AP522" s="7"/>
    </row>
    <row r="523" spans="1:11" ht="18" customHeight="1">
      <c r="A523" s="42" t="s">
        <v>1297</v>
      </c>
      <c r="B523" s="36"/>
      <c r="C523" s="36"/>
      <c r="D523" s="36"/>
      <c r="E523" s="36"/>
      <c r="F523" s="47"/>
      <c r="K523" s="3" t="s">
        <v>1297</v>
      </c>
    </row>
    <row r="524" spans="1:32" ht="18" customHeight="1">
      <c r="A524" s="42" t="s">
        <v>722</v>
      </c>
      <c r="B524" s="37">
        <f>SUM($C524,$D524,$E524)</f>
        <v>0</v>
      </c>
      <c r="C524" s="37">
        <f>$AB524</f>
        <v>0</v>
      </c>
      <c r="D524" s="37">
        <f>$AD524</f>
        <v>0</v>
      </c>
      <c r="E524" s="37">
        <f>$AF524</f>
        <v>0</v>
      </c>
      <c r="F524" s="48"/>
      <c r="K524" s="3" t="s">
        <v>1236</v>
      </c>
      <c r="AE524" s="40"/>
      <c r="AF524" s="7"/>
    </row>
    <row r="525" spans="1:11" ht="18" customHeight="1">
      <c r="A525" s="42" t="s">
        <v>1297</v>
      </c>
      <c r="B525" s="36"/>
      <c r="C525" s="36"/>
      <c r="D525" s="36"/>
      <c r="E525" s="36"/>
      <c r="F525" s="47"/>
      <c r="K525" s="3" t="s">
        <v>1297</v>
      </c>
    </row>
    <row r="526" spans="1:11" ht="18" customHeight="1">
      <c r="A526" s="42" t="s">
        <v>1297</v>
      </c>
      <c r="B526" s="36"/>
      <c r="C526" s="36"/>
      <c r="D526" s="36"/>
      <c r="E526" s="36"/>
      <c r="F526" s="47"/>
      <c r="K526" s="3" t="s">
        <v>1297</v>
      </c>
    </row>
    <row r="527" spans="1:30" ht="18" customHeight="1">
      <c r="A527" s="44" t="str">
        <f>CONCATENATE("2. 덤프트럭(15 ton) - ",TEXT($AB527,"#,##0.00"),"대")</f>
        <v>2. 덤프트럭(15 ton) - 0.00대</v>
      </c>
      <c r="B527" s="36"/>
      <c r="C527" s="36"/>
      <c r="D527" s="36"/>
      <c r="E527" s="36"/>
      <c r="F527" s="47"/>
      <c r="K527" s="3" t="s">
        <v>874</v>
      </c>
      <c r="AA527" s="40"/>
      <c r="AB527" s="6"/>
      <c r="AC527" s="40"/>
      <c r="AD527" s="7"/>
    </row>
    <row r="528" spans="1:11" ht="18" customHeight="1">
      <c r="A528" s="42" t="s">
        <v>1297</v>
      </c>
      <c r="B528" s="36"/>
      <c r="C528" s="36"/>
      <c r="D528" s="36"/>
      <c r="E528" s="36"/>
      <c r="F528" s="47"/>
      <c r="K528" s="3" t="s">
        <v>1297</v>
      </c>
    </row>
    <row r="529" spans="1:30" ht="18" customHeight="1">
      <c r="A529" s="44" t="str">
        <f>CONCATENATE("    왕복 2회(공사시작,공사종료) : A=",TEXT($AB529,"#,##0.00")," 회")</f>
        <v>    왕복 2회(공사시작,공사종료) : A=0.00 회</v>
      </c>
      <c r="B529" s="36"/>
      <c r="C529" s="36"/>
      <c r="D529" s="36"/>
      <c r="E529" s="36"/>
      <c r="F529" s="47"/>
      <c r="K529" s="10" t="str">
        <f>SUBSTITUTE(SUBSTITUTE("   _x001D_왕복 2회(공사시작,공사종료) :_x001D_A=2_x001D_회_x001D_","2",TEXT($AB529,"#,##0"),1),"_x001D_","'")</f>
        <v>   '왕복 0회(공사시작,공사종료) :'A=2'회'</v>
      </c>
      <c r="AA529" s="40"/>
      <c r="AB529" s="6"/>
      <c r="AC529" s="40"/>
      <c r="AD529" s="7"/>
    </row>
    <row r="530" spans="1:38" ht="18" customHeight="1">
      <c r="A530" s="42" t="s">
        <v>1297</v>
      </c>
      <c r="B530" s="36"/>
      <c r="C530" s="36"/>
      <c r="D530" s="36"/>
      <c r="E530" s="36"/>
      <c r="F530" s="47"/>
      <c r="K530" s="10" t="str">
        <f>SUBSTITUTE(SUBSTITUTE(SUBSTITUTE(".V1=40, V2=25, V3=10","25",TEXT($AF530,"#,##0"),1),"10",TEXT($AJ530,"#,##0"),1),"_x001D_","'")</f>
        <v>.V1=40, V2=0, V3=0</v>
      </c>
      <c r="AA530" s="40"/>
      <c r="AB530" s="6"/>
      <c r="AC530" s="40"/>
      <c r="AD530" s="7"/>
      <c r="AE530" s="40"/>
      <c r="AF530" s="6"/>
      <c r="AG530" s="40"/>
      <c r="AH530" s="7"/>
      <c r="AI530" s="40"/>
      <c r="AJ530" s="6"/>
      <c r="AK530" s="40"/>
      <c r="AL530" s="7"/>
    </row>
    <row r="531" spans="1:42" ht="18" customHeight="1">
      <c r="A531" s="44" t="str">
        <f>CONCATENATE("   T2 = (",TEXT($AB531,"#,##0.00"),"/",TEXT($AF531,"#,##0.00"),")*2 =",TEXT($AN531,"#,##0.00")," HR ")</f>
        <v>   T2 = (0.00/0.00)*2 =0.00 HR </v>
      </c>
      <c r="B531" s="36">
        <f>SUM($C531,$D531,$E531)</f>
        <v>0</v>
      </c>
      <c r="C531" s="36"/>
      <c r="D531" s="36"/>
      <c r="E531" s="36"/>
      <c r="F531" s="47"/>
      <c r="K531" s="3" t="s">
        <v>645</v>
      </c>
      <c r="AA531" s="40"/>
      <c r="AB531" s="8"/>
      <c r="AC531" s="40"/>
      <c r="AD531" s="7"/>
      <c r="AE531" s="40"/>
      <c r="AF531" s="8"/>
      <c r="AG531" s="40"/>
      <c r="AH531" s="7"/>
      <c r="AI531" s="40"/>
      <c r="AJ531" s="8"/>
      <c r="AK531" s="40"/>
      <c r="AL531" s="7"/>
      <c r="AM531" s="40"/>
      <c r="AN531" s="8"/>
      <c r="AO531" s="40"/>
      <c r="AP531" s="7"/>
    </row>
    <row r="532" spans="1:11" ht="18" customHeight="1">
      <c r="A532" s="42" t="s">
        <v>1297</v>
      </c>
      <c r="B532" s="36"/>
      <c r="C532" s="36"/>
      <c r="D532" s="36"/>
      <c r="E532" s="36"/>
      <c r="F532" s="47"/>
      <c r="K532" s="3" t="s">
        <v>1297</v>
      </c>
    </row>
    <row r="533" spans="1:42" ht="18" customHeight="1">
      <c r="A533" s="44" t="str">
        <f>CONCATENATE("    재 료 비 :  _x001D_36,643.14_x001D_ * ",TEXT($AB533,"#,##0.00"),"*",TEXT($AF533,"#,##0.00"),"*",TEXT($AJ533,"#,##0.00"),"=",TEXT($AN533,"#,##0.00"))</f>
        <v>    재 료 비 :  _x001D_36,643.14_x001D_ * 0.00*0.00*0.00=0.00</v>
      </c>
      <c r="B533" s="36">
        <f>SUM($C533,$D533,$E533)</f>
        <v>0</v>
      </c>
      <c r="C533" s="36"/>
      <c r="D533" s="36"/>
      <c r="E533" s="36">
        <f>$AN533</f>
        <v>0</v>
      </c>
      <c r="F533" s="47" t="s">
        <v>1297</v>
      </c>
      <c r="K533" s="3" t="s">
        <v>536</v>
      </c>
      <c r="AA533" s="40"/>
      <c r="AB533" s="8"/>
      <c r="AC533" s="40"/>
      <c r="AD533" s="7"/>
      <c r="AE533" s="40"/>
      <c r="AF533" s="8"/>
      <c r="AG533" s="40"/>
      <c r="AH533" s="7"/>
      <c r="AI533" s="40"/>
      <c r="AJ533" s="8"/>
      <c r="AK533" s="40"/>
      <c r="AL533" s="7"/>
      <c r="AM533" s="41"/>
      <c r="AN533" s="8"/>
      <c r="AO533" s="41"/>
      <c r="AP533" s="7"/>
    </row>
    <row r="534" spans="1:11" ht="18" customHeight="1">
      <c r="A534" s="42" t="s">
        <v>1297</v>
      </c>
      <c r="B534" s="36"/>
      <c r="C534" s="36"/>
      <c r="D534" s="36"/>
      <c r="E534" s="36"/>
      <c r="F534" s="47"/>
      <c r="K534" s="3" t="s">
        <v>1297</v>
      </c>
    </row>
    <row r="535" spans="1:42" ht="18" customHeight="1">
      <c r="A535" s="44" t="str">
        <f>CONCATENATE("    노 무 비 :  _x001D_47,849_x001D_ * ",TEXT($AB535,"#,##0.00"),"*",TEXT($AF535,"#,##0.00"),"*",TEXT($AJ535,"#,##0.00"),"=",TEXT($AN535,"#,##0.00"))</f>
        <v>    노 무 비 :  _x001D_47,849_x001D_ * 0.00*0.00*0.00=0.00</v>
      </c>
      <c r="B535" s="36">
        <f>SUM($C535,$D535,$E535)</f>
        <v>0</v>
      </c>
      <c r="C535" s="36"/>
      <c r="D535" s="36"/>
      <c r="E535" s="36">
        <f>$AN535</f>
        <v>0</v>
      </c>
      <c r="F535" s="47" t="s">
        <v>1297</v>
      </c>
      <c r="K535" s="3" t="s">
        <v>671</v>
      </c>
      <c r="AA535" s="40"/>
      <c r="AB535" s="8"/>
      <c r="AC535" s="40"/>
      <c r="AD535" s="7"/>
      <c r="AE535" s="40"/>
      <c r="AF535" s="8"/>
      <c r="AG535" s="40"/>
      <c r="AH535" s="7"/>
      <c r="AI535" s="40"/>
      <c r="AJ535" s="8"/>
      <c r="AK535" s="40"/>
      <c r="AL535" s="7"/>
      <c r="AM535" s="41"/>
      <c r="AN535" s="8"/>
      <c r="AO535" s="41"/>
      <c r="AP535" s="7"/>
    </row>
    <row r="536" spans="1:11" ht="18" customHeight="1">
      <c r="A536" s="42" t="s">
        <v>1297</v>
      </c>
      <c r="B536" s="36"/>
      <c r="C536" s="36"/>
      <c r="D536" s="36"/>
      <c r="E536" s="36"/>
      <c r="F536" s="47"/>
      <c r="K536" s="3" t="s">
        <v>1297</v>
      </c>
    </row>
    <row r="537" spans="1:42" ht="18" customHeight="1">
      <c r="A537" s="44" t="str">
        <f>CONCATENATE("    경    비 :  _x001D_18,972_x001D_ * ",TEXT($AB537,"#,##0.00"),"*",TEXT($AF537,"#,##0.00"),"*",TEXT($AJ537,"#,##0.00"),"=",TEXT($AN537,"#,##0.00"))</f>
        <v>    경    비 :  _x001D_18,972_x001D_ * 0.00*0.00*0.00=0.00</v>
      </c>
      <c r="B537" s="36">
        <f>SUM($C537,$D537,$E537)</f>
        <v>0</v>
      </c>
      <c r="C537" s="36"/>
      <c r="D537" s="36"/>
      <c r="E537" s="36">
        <f>$AN537</f>
        <v>0</v>
      </c>
      <c r="F537" s="47" t="s">
        <v>1297</v>
      </c>
      <c r="K537" s="3" t="s">
        <v>476</v>
      </c>
      <c r="AA537" s="40"/>
      <c r="AB537" s="8"/>
      <c r="AC537" s="40"/>
      <c r="AD537" s="7"/>
      <c r="AE537" s="40"/>
      <c r="AF537" s="8"/>
      <c r="AG537" s="40"/>
      <c r="AH537" s="7"/>
      <c r="AI537" s="40"/>
      <c r="AJ537" s="8"/>
      <c r="AK537" s="40"/>
      <c r="AL537" s="7"/>
      <c r="AM537" s="41"/>
      <c r="AN537" s="8"/>
      <c r="AO537" s="41"/>
      <c r="AP537" s="7"/>
    </row>
    <row r="538" spans="1:11" ht="18" customHeight="1">
      <c r="A538" s="42" t="s">
        <v>1297</v>
      </c>
      <c r="B538" s="36"/>
      <c r="C538" s="36"/>
      <c r="D538" s="36"/>
      <c r="E538" s="36"/>
      <c r="F538" s="47"/>
      <c r="K538" s="3" t="s">
        <v>1297</v>
      </c>
    </row>
    <row r="539" spans="1:32" ht="18" customHeight="1">
      <c r="A539" s="42" t="s">
        <v>330</v>
      </c>
      <c r="B539" s="37">
        <f>SUM($C539,$D539,$E539)</f>
        <v>0</v>
      </c>
      <c r="C539" s="37">
        <f>$AB539</f>
        <v>0</v>
      </c>
      <c r="D539" s="37">
        <f>$AD539</f>
        <v>0</v>
      </c>
      <c r="E539" s="37">
        <f>$AF539</f>
        <v>0</v>
      </c>
      <c r="F539" s="48"/>
      <c r="K539" s="3" t="s">
        <v>1204</v>
      </c>
      <c r="AE539" s="40"/>
      <c r="AF539" s="7"/>
    </row>
    <row r="540" spans="1:11" ht="18" customHeight="1">
      <c r="A540" s="42" t="s">
        <v>1297</v>
      </c>
      <c r="B540" s="36"/>
      <c r="C540" s="36"/>
      <c r="D540" s="36"/>
      <c r="E540" s="36"/>
      <c r="F540" s="47"/>
      <c r="K540" s="3" t="s">
        <v>1297</v>
      </c>
    </row>
    <row r="541" spans="1:11" ht="18" customHeight="1">
      <c r="A541" s="42" t="s">
        <v>1297</v>
      </c>
      <c r="B541" s="36"/>
      <c r="C541" s="36"/>
      <c r="D541" s="36"/>
      <c r="E541" s="36"/>
      <c r="F541" s="47"/>
      <c r="K541" s="3" t="s">
        <v>1297</v>
      </c>
    </row>
    <row r="542" spans="1:30" ht="18" customHeight="1">
      <c r="A542" s="44" t="str">
        <f>CONCATENATE("3. 자주식중기 - 트럭크레인(트럭 5 ton) - ",TEXT($AB542,"#,##0.00"),"대")</f>
        <v>3. 자주식중기 - 트럭크레인(트럭 5 ton) - 0.00대</v>
      </c>
      <c r="B542" s="36"/>
      <c r="C542" s="36"/>
      <c r="D542" s="36"/>
      <c r="E542" s="36"/>
      <c r="F542" s="47"/>
      <c r="K542" s="3" t="s">
        <v>834</v>
      </c>
      <c r="AA542" s="40"/>
      <c r="AB542" s="6"/>
      <c r="AC542" s="40"/>
      <c r="AD542" s="7"/>
    </row>
    <row r="543" spans="1:11" ht="18" customHeight="1">
      <c r="A543" s="42" t="s">
        <v>1297</v>
      </c>
      <c r="B543" s="36"/>
      <c r="C543" s="36"/>
      <c r="D543" s="36"/>
      <c r="E543" s="36"/>
      <c r="F543" s="47"/>
      <c r="K543" s="3" t="s">
        <v>1297</v>
      </c>
    </row>
    <row r="544" spans="1:30" ht="18" customHeight="1">
      <c r="A544" s="44" t="str">
        <f>CONCATENATE("    왕복 2회(공사시작,공사종료) : A=",TEXT($AB544,"#,##0.00")," 회")</f>
        <v>    왕복 2회(공사시작,공사종료) : A=0.00 회</v>
      </c>
      <c r="B544" s="36"/>
      <c r="C544" s="36"/>
      <c r="D544" s="36"/>
      <c r="E544" s="36"/>
      <c r="F544" s="47"/>
      <c r="K544" s="10" t="str">
        <f>SUBSTITUTE(SUBSTITUTE("   _x001D_왕복 2회(공사시작,공사종료) :_x001D_A=2_x001D_회_x001D_","2",TEXT($AB544,"#,##0"),1),"_x001D_","'")</f>
        <v>   '왕복 0회(공사시작,공사종료) :'A=2'회'</v>
      </c>
      <c r="AA544" s="40"/>
      <c r="AB544" s="6"/>
      <c r="AC544" s="40"/>
      <c r="AD544" s="7"/>
    </row>
    <row r="545" spans="1:38" ht="18" customHeight="1">
      <c r="A545" s="42" t="s">
        <v>1297</v>
      </c>
      <c r="B545" s="36"/>
      <c r="C545" s="36"/>
      <c r="D545" s="36"/>
      <c r="E545" s="36"/>
      <c r="F545" s="47"/>
      <c r="K545" s="10" t="str">
        <f>SUBSTITUTE(SUBSTITUTE(SUBSTITUTE(".V1=30, V2=15, V3=10","15",TEXT($AF545,"#,##0"),1),"10",TEXT($AJ545,"#,##0"),1),"_x001D_","'")</f>
        <v>.V1=30, V2=0, V3=0</v>
      </c>
      <c r="AA545" s="40"/>
      <c r="AB545" s="6"/>
      <c r="AC545" s="40"/>
      <c r="AD545" s="7"/>
      <c r="AE545" s="40"/>
      <c r="AF545" s="6"/>
      <c r="AG545" s="40"/>
      <c r="AH545" s="7"/>
      <c r="AI545" s="40"/>
      <c r="AJ545" s="6"/>
      <c r="AK545" s="40"/>
      <c r="AL545" s="7"/>
    </row>
    <row r="546" spans="1:42" ht="18" customHeight="1">
      <c r="A546" s="44" t="str">
        <f>CONCATENATE("   T2 = (",TEXT($AB546,"#,##0.00"),"/",TEXT($AF546,"#,##0.00"),")*2 =",TEXT($AN546,"#,##0.00")," HR ")</f>
        <v>   T2 = (0.00/0.00)*2 =0.00 HR </v>
      </c>
      <c r="B546" s="36">
        <f>SUM($C546,$D546,$E546)</f>
        <v>0</v>
      </c>
      <c r="C546" s="36"/>
      <c r="D546" s="36"/>
      <c r="E546" s="36"/>
      <c r="F546" s="47"/>
      <c r="K546" s="3" t="s">
        <v>645</v>
      </c>
      <c r="AA546" s="40"/>
      <c r="AB546" s="8"/>
      <c r="AC546" s="40"/>
      <c r="AD546" s="7"/>
      <c r="AE546" s="40"/>
      <c r="AF546" s="8"/>
      <c r="AG546" s="40"/>
      <c r="AH546" s="7"/>
      <c r="AI546" s="40"/>
      <c r="AJ546" s="8"/>
      <c r="AK546" s="40"/>
      <c r="AL546" s="7"/>
      <c r="AM546" s="40"/>
      <c r="AN546" s="8"/>
      <c r="AO546" s="40"/>
      <c r="AP546" s="7"/>
    </row>
    <row r="547" spans="1:11" ht="18" customHeight="1">
      <c r="A547" s="42" t="s">
        <v>1297</v>
      </c>
      <c r="B547" s="36"/>
      <c r="C547" s="36"/>
      <c r="D547" s="36"/>
      <c r="E547" s="36"/>
      <c r="F547" s="47"/>
      <c r="K547" s="3" t="s">
        <v>1297</v>
      </c>
    </row>
    <row r="548" spans="1:42" ht="18" customHeight="1">
      <c r="A548" s="44" t="str">
        <f>CONCATENATE("    재 료 비 :  _x001D_10,220.4_x001D_ * ",TEXT($AB548,"#,##0.00"),"*",TEXT($AF548,"#,##0.00"),"*",TEXT($AJ548,"#,##0.00"),"=",TEXT($AN548,"#,##0.00"))</f>
        <v>    재 료 비 :  _x001D_10,220.4_x001D_ * 0.00*0.00*0.00=0.00</v>
      </c>
      <c r="B548" s="36">
        <f>SUM($C548,$D548,$E548)</f>
        <v>0</v>
      </c>
      <c r="C548" s="36"/>
      <c r="D548" s="36"/>
      <c r="E548" s="36">
        <f>$AN548</f>
        <v>0</v>
      </c>
      <c r="F548" s="47" t="s">
        <v>1297</v>
      </c>
      <c r="K548" s="3" t="s">
        <v>1034</v>
      </c>
      <c r="AA548" s="40"/>
      <c r="AB548" s="8"/>
      <c r="AC548" s="40"/>
      <c r="AD548" s="7"/>
      <c r="AE548" s="40"/>
      <c r="AF548" s="8"/>
      <c r="AG548" s="40"/>
      <c r="AH548" s="7"/>
      <c r="AI548" s="40"/>
      <c r="AJ548" s="8"/>
      <c r="AK548" s="40"/>
      <c r="AL548" s="7"/>
      <c r="AM548" s="41"/>
      <c r="AN548" s="8"/>
      <c r="AO548" s="41"/>
      <c r="AP548" s="7"/>
    </row>
    <row r="549" spans="1:11" ht="18" customHeight="1">
      <c r="A549" s="42" t="s">
        <v>1297</v>
      </c>
      <c r="B549" s="36"/>
      <c r="C549" s="36"/>
      <c r="D549" s="36"/>
      <c r="E549" s="36"/>
      <c r="F549" s="47"/>
      <c r="K549" s="3" t="s">
        <v>1297</v>
      </c>
    </row>
    <row r="550" spans="1:42" ht="18" customHeight="1">
      <c r="A550" s="44" t="str">
        <f>CONCATENATE("    노 무 비 :  _x001D_39,645_x001D_ * ",TEXT($AB550,"#,##0.00"),"*",TEXT($AF550,"#,##0.00"),"*",TEXT($AJ550,"#,##0.00"),"=",TEXT($AN550,"#,##0.00"))</f>
        <v>    노 무 비 :  _x001D_39,645_x001D_ * 0.00*0.00*0.00=0.00</v>
      </c>
      <c r="B550" s="36">
        <f>SUM($C550,$D550,$E550)</f>
        <v>0</v>
      </c>
      <c r="C550" s="36"/>
      <c r="D550" s="36"/>
      <c r="E550" s="36">
        <f>$AN550</f>
        <v>0</v>
      </c>
      <c r="F550" s="47" t="s">
        <v>1297</v>
      </c>
      <c r="K550" s="3" t="s">
        <v>267</v>
      </c>
      <c r="AA550" s="40"/>
      <c r="AB550" s="8"/>
      <c r="AC550" s="40"/>
      <c r="AD550" s="7"/>
      <c r="AE550" s="40"/>
      <c r="AF550" s="8"/>
      <c r="AG550" s="40"/>
      <c r="AH550" s="7"/>
      <c r="AI550" s="40"/>
      <c r="AJ550" s="8"/>
      <c r="AK550" s="40"/>
      <c r="AL550" s="7"/>
      <c r="AM550" s="41"/>
      <c r="AN550" s="8"/>
      <c r="AO550" s="41"/>
      <c r="AP550" s="7"/>
    </row>
    <row r="551" spans="1:11" ht="18" customHeight="1">
      <c r="A551" s="42" t="s">
        <v>1297</v>
      </c>
      <c r="B551" s="36"/>
      <c r="C551" s="36"/>
      <c r="D551" s="36"/>
      <c r="E551" s="36"/>
      <c r="F551" s="47"/>
      <c r="K551" s="3" t="s">
        <v>1297</v>
      </c>
    </row>
    <row r="552" spans="1:42" ht="18" customHeight="1">
      <c r="A552" s="44" t="str">
        <f>CONCATENATE("    경    비 :  _x001D_9,596_x001D_ * ",TEXT($AB552,"#,##0.00"),"*",TEXT($AF552,"#,##0.00"),"*",TEXT($AJ552,"#,##0.00"),"=",TEXT($AN552,"#,##0.00"))</f>
        <v>    경    비 :  _x001D_9,596_x001D_ * 0.00*0.00*0.00=0.00</v>
      </c>
      <c r="B552" s="36">
        <f>SUM($C552,$D552,$E552)</f>
        <v>0</v>
      </c>
      <c r="C552" s="36"/>
      <c r="D552" s="36"/>
      <c r="E552" s="36">
        <f>$AN552</f>
        <v>0</v>
      </c>
      <c r="F552" s="47" t="s">
        <v>1297</v>
      </c>
      <c r="K552" s="3" t="s">
        <v>1106</v>
      </c>
      <c r="AA552" s="40"/>
      <c r="AB552" s="8"/>
      <c r="AC552" s="40"/>
      <c r="AD552" s="7"/>
      <c r="AE552" s="40"/>
      <c r="AF552" s="8"/>
      <c r="AG552" s="40"/>
      <c r="AH552" s="7"/>
      <c r="AI552" s="40"/>
      <c r="AJ552" s="8"/>
      <c r="AK552" s="40"/>
      <c r="AL552" s="7"/>
      <c r="AM552" s="41"/>
      <c r="AN552" s="8"/>
      <c r="AO552" s="41"/>
      <c r="AP552" s="7"/>
    </row>
    <row r="553" spans="1:11" ht="18" customHeight="1">
      <c r="A553" s="42" t="s">
        <v>1297</v>
      </c>
      <c r="B553" s="36"/>
      <c r="C553" s="36"/>
      <c r="D553" s="36"/>
      <c r="E553" s="36"/>
      <c r="F553" s="47"/>
      <c r="K553" s="3" t="s">
        <v>1297</v>
      </c>
    </row>
    <row r="554" spans="1:32" ht="18" customHeight="1">
      <c r="A554" s="42" t="s">
        <v>330</v>
      </c>
      <c r="B554" s="37">
        <f>SUM($C554,$D554,$E554)</f>
        <v>0</v>
      </c>
      <c r="C554" s="37">
        <f>$AB554</f>
        <v>0</v>
      </c>
      <c r="D554" s="37">
        <f>$AD554</f>
        <v>0</v>
      </c>
      <c r="E554" s="37">
        <f>$AF554</f>
        <v>0</v>
      </c>
      <c r="F554" s="48"/>
      <c r="K554" s="3" t="s">
        <v>1204</v>
      </c>
      <c r="AE554" s="40"/>
      <c r="AF554" s="7"/>
    </row>
    <row r="555" spans="1:11" ht="18" customHeight="1">
      <c r="A555" s="42" t="s">
        <v>1297</v>
      </c>
      <c r="B555" s="36"/>
      <c r="C555" s="36"/>
      <c r="D555" s="36"/>
      <c r="E555" s="36"/>
      <c r="F555" s="47"/>
      <c r="K555" s="3" t="s">
        <v>1297</v>
      </c>
    </row>
    <row r="556" spans="1:11" ht="18" customHeight="1">
      <c r="A556" s="42" t="s">
        <v>1297</v>
      </c>
      <c r="B556" s="36"/>
      <c r="C556" s="36"/>
      <c r="D556" s="36"/>
      <c r="E556" s="36"/>
      <c r="F556" s="47"/>
      <c r="K556" s="3" t="s">
        <v>1297</v>
      </c>
    </row>
    <row r="557" spans="1:11" ht="18" customHeight="1">
      <c r="A557" s="42" t="s">
        <v>890</v>
      </c>
      <c r="B557" s="36"/>
      <c r="C557" s="36"/>
      <c r="D557" s="36"/>
      <c r="E557" s="36"/>
      <c r="F557" s="47"/>
      <c r="K557" s="3" t="s">
        <v>1254</v>
      </c>
    </row>
    <row r="558" spans="1:38" ht="18" customHeight="1">
      <c r="A558" s="42" t="s">
        <v>1297</v>
      </c>
      <c r="B558" s="36"/>
      <c r="C558" s="36"/>
      <c r="D558" s="36"/>
      <c r="E558" s="36"/>
      <c r="F558" s="47"/>
      <c r="K558" s="10" t="str">
        <f>SUBSTITUTE(SUBSTITUTE(SUBSTITUTE(".V1=40, V2=25, V3=10","25",TEXT($AF558,"#,##0"),1),"10",TEXT($AJ558,"#,##0"),1),"_x001D_","'")</f>
        <v>.V1=40, V2=0, V3=0</v>
      </c>
      <c r="AA558" s="40"/>
      <c r="AB558" s="6"/>
      <c r="AC558" s="40"/>
      <c r="AD558" s="7"/>
      <c r="AE558" s="40"/>
      <c r="AF558" s="6"/>
      <c r="AG558" s="40"/>
      <c r="AH558" s="7"/>
      <c r="AI558" s="40"/>
      <c r="AJ558" s="6"/>
      <c r="AK558" s="40"/>
      <c r="AL558" s="7"/>
    </row>
    <row r="559" spans="1:42" ht="18" customHeight="1">
      <c r="A559" s="44" t="str">
        <f>CONCATENATE("   T2 = (",TEXT($AB559,"#,##0.00"),"/",TEXT($AF559,"#,##0.00"),")*2 =",TEXT($AN559,"#,##0.00")," HR ")</f>
        <v>   T2 = (0.00/0.00)*2 =0.00 HR </v>
      </c>
      <c r="B559" s="36">
        <f>SUM($C559,$D559,$E559)</f>
        <v>0</v>
      </c>
      <c r="C559" s="36"/>
      <c r="D559" s="36"/>
      <c r="E559" s="36"/>
      <c r="F559" s="47"/>
      <c r="K559" s="3" t="s">
        <v>645</v>
      </c>
      <c r="AA559" s="40"/>
      <c r="AB559" s="8"/>
      <c r="AC559" s="40"/>
      <c r="AD559" s="7"/>
      <c r="AE559" s="40"/>
      <c r="AF559" s="8"/>
      <c r="AG559" s="40"/>
      <c r="AH559" s="7"/>
      <c r="AI559" s="40"/>
      <c r="AJ559" s="8"/>
      <c r="AK559" s="40"/>
      <c r="AL559" s="7"/>
      <c r="AM559" s="40"/>
      <c r="AN559" s="8"/>
      <c r="AO559" s="40"/>
      <c r="AP559" s="7"/>
    </row>
    <row r="560" spans="1:11" ht="18" customHeight="1">
      <c r="A560" s="42" t="s">
        <v>1297</v>
      </c>
      <c r="B560" s="36"/>
      <c r="C560" s="36"/>
      <c r="D560" s="36"/>
      <c r="E560" s="36"/>
      <c r="F560" s="47"/>
      <c r="K560" s="3" t="s">
        <v>1297</v>
      </c>
    </row>
    <row r="561" spans="1:42" ht="18" customHeight="1">
      <c r="A561" s="44" t="str">
        <f>CONCATENATE("    재 료 비 :  _x001D_6,683.34_x001D_ * ",TEXT($AB561,"#,##0.00"),"*",TEXT($AF561,"#,##0.00"),"*",TEXT($AJ561,"#,##0.00"),"=",TEXT($AN561,"#,##0.00"))</f>
        <v>    재 료 비 :  _x001D_6,683.34_x001D_ * 0.00*0.00*0.00=0.00</v>
      </c>
      <c r="B561" s="36">
        <f>SUM($C561,$D561,$E561)</f>
        <v>0</v>
      </c>
      <c r="C561" s="36"/>
      <c r="D561" s="36"/>
      <c r="E561" s="36">
        <f>$AN561</f>
        <v>0</v>
      </c>
      <c r="F561" s="47" t="s">
        <v>1297</v>
      </c>
      <c r="K561" s="3" t="s">
        <v>769</v>
      </c>
      <c r="AA561" s="40"/>
      <c r="AB561" s="8"/>
      <c r="AC561" s="40"/>
      <c r="AD561" s="7"/>
      <c r="AE561" s="40"/>
      <c r="AF561" s="8"/>
      <c r="AG561" s="40"/>
      <c r="AH561" s="7"/>
      <c r="AI561" s="40"/>
      <c r="AJ561" s="8"/>
      <c r="AK561" s="40"/>
      <c r="AL561" s="7"/>
      <c r="AM561" s="41"/>
      <c r="AN561" s="8"/>
      <c r="AO561" s="41"/>
      <c r="AP561" s="7"/>
    </row>
    <row r="562" spans="1:11" ht="18" customHeight="1">
      <c r="A562" s="42" t="s">
        <v>1297</v>
      </c>
      <c r="B562" s="36"/>
      <c r="C562" s="36"/>
      <c r="D562" s="36"/>
      <c r="E562" s="36"/>
      <c r="F562" s="47"/>
      <c r="K562" s="3" t="s">
        <v>1297</v>
      </c>
    </row>
    <row r="563" spans="1:42" ht="18" customHeight="1">
      <c r="A563" s="44" t="str">
        <f>CONCATENATE("    노 무 비 :  _x001D_39,645_x001D_ * ",TEXT($AB563,"#,##0.00"),"*",TEXT($AF563,"#,##0.00"),"*",TEXT($AJ563,"#,##0.00"),"=",TEXT($AN563,"#,##0.00"))</f>
        <v>    노 무 비 :  _x001D_39,645_x001D_ * 0.00*0.00*0.00=0.00</v>
      </c>
      <c r="B563" s="36">
        <f>SUM($C563,$D563,$E563)</f>
        <v>0</v>
      </c>
      <c r="C563" s="36"/>
      <c r="D563" s="36"/>
      <c r="E563" s="36">
        <f>$AN563</f>
        <v>0</v>
      </c>
      <c r="F563" s="47" t="s">
        <v>1297</v>
      </c>
      <c r="K563" s="3" t="s">
        <v>616</v>
      </c>
      <c r="AA563" s="40"/>
      <c r="AB563" s="8"/>
      <c r="AC563" s="40"/>
      <c r="AD563" s="7"/>
      <c r="AE563" s="40"/>
      <c r="AF563" s="8"/>
      <c r="AG563" s="40"/>
      <c r="AH563" s="7"/>
      <c r="AI563" s="40"/>
      <c r="AJ563" s="8"/>
      <c r="AK563" s="40"/>
      <c r="AL563" s="7"/>
      <c r="AM563" s="41"/>
      <c r="AN563" s="8"/>
      <c r="AO563" s="41"/>
      <c r="AP563" s="7"/>
    </row>
    <row r="564" spans="1:11" ht="18" customHeight="1">
      <c r="A564" s="42" t="s">
        <v>1297</v>
      </c>
      <c r="B564" s="36"/>
      <c r="C564" s="36"/>
      <c r="D564" s="36"/>
      <c r="E564" s="36"/>
      <c r="F564" s="47"/>
      <c r="K564" s="3" t="s">
        <v>1297</v>
      </c>
    </row>
    <row r="565" spans="1:42" ht="18" customHeight="1">
      <c r="A565" s="44" t="str">
        <f>CONCATENATE("    경    비 :  _x001D_5,965_x001D_ * ",TEXT($AB565,"#,##0.00"),"*",TEXT($AF565,"#,##0.00"),"*",TEXT($AJ565,"#,##0.00"),"=",TEXT($AN565,"#,##0.00"))</f>
        <v>    경    비 :  _x001D_5,965_x001D_ * 0.00*0.00*0.00=0.00</v>
      </c>
      <c r="B565" s="36">
        <f>SUM($C565,$D565,$E565)</f>
        <v>0</v>
      </c>
      <c r="C565" s="36"/>
      <c r="D565" s="36"/>
      <c r="E565" s="36">
        <f>$AN565</f>
        <v>0</v>
      </c>
      <c r="F565" s="47" t="s">
        <v>1297</v>
      </c>
      <c r="K565" s="3" t="s">
        <v>746</v>
      </c>
      <c r="AA565" s="40"/>
      <c r="AB565" s="8"/>
      <c r="AC565" s="40"/>
      <c r="AD565" s="7"/>
      <c r="AE565" s="40"/>
      <c r="AF565" s="8"/>
      <c r="AG565" s="40"/>
      <c r="AH565" s="7"/>
      <c r="AI565" s="40"/>
      <c r="AJ565" s="8"/>
      <c r="AK565" s="40"/>
      <c r="AL565" s="7"/>
      <c r="AM565" s="41"/>
      <c r="AN565" s="8"/>
      <c r="AO565" s="41"/>
      <c r="AP565" s="7"/>
    </row>
    <row r="566" spans="1:11" ht="18" customHeight="1">
      <c r="A566" s="42" t="s">
        <v>1297</v>
      </c>
      <c r="B566" s="36"/>
      <c r="C566" s="36"/>
      <c r="D566" s="36"/>
      <c r="E566" s="36"/>
      <c r="F566" s="47"/>
      <c r="K566" s="3" t="s">
        <v>1297</v>
      </c>
    </row>
    <row r="567" spans="1:32" ht="18" customHeight="1">
      <c r="A567" s="42" t="s">
        <v>330</v>
      </c>
      <c r="B567" s="37">
        <f>SUM($C567,$D567,$E567)</f>
        <v>0</v>
      </c>
      <c r="C567" s="37">
        <f>$AB567</f>
        <v>0</v>
      </c>
      <c r="D567" s="37">
        <f>$AD567</f>
        <v>0</v>
      </c>
      <c r="E567" s="37">
        <f>$AF567</f>
        <v>0</v>
      </c>
      <c r="F567" s="48"/>
      <c r="K567" s="3" t="s">
        <v>1204</v>
      </c>
      <c r="AE567" s="40"/>
      <c r="AF567" s="7"/>
    </row>
    <row r="568" spans="1:11" ht="18" customHeight="1">
      <c r="A568" s="42" t="s">
        <v>1297</v>
      </c>
      <c r="B568" s="36"/>
      <c r="C568" s="36"/>
      <c r="D568" s="36"/>
      <c r="E568" s="36"/>
      <c r="F568" s="47"/>
      <c r="K568" s="3" t="s">
        <v>1297</v>
      </c>
    </row>
    <row r="569" spans="1:11" ht="18" customHeight="1">
      <c r="A569" s="42" t="s">
        <v>1297</v>
      </c>
      <c r="B569" s="36"/>
      <c r="C569" s="36"/>
      <c r="D569" s="36"/>
      <c r="E569" s="36"/>
      <c r="F569" s="47"/>
      <c r="K569" s="3" t="s">
        <v>1297</v>
      </c>
    </row>
    <row r="570" spans="1:32" ht="18" customHeight="1">
      <c r="A570" s="42" t="s">
        <v>547</v>
      </c>
      <c r="B570" s="38">
        <f>SUM($C570,$D570,$E570)</f>
        <v>0</v>
      </c>
      <c r="C570" s="38">
        <f>$AB570</f>
        <v>0</v>
      </c>
      <c r="D570" s="38">
        <f>$AD570</f>
        <v>0</v>
      </c>
      <c r="E570" s="38">
        <f>$AF570</f>
        <v>0</v>
      </c>
      <c r="F570" s="49"/>
      <c r="K570" s="3" t="s">
        <v>1221</v>
      </c>
      <c r="AE570" s="40"/>
      <c r="AF570" s="7"/>
    </row>
    <row r="571" spans="1:6" ht="18" customHeight="1">
      <c r="A571" s="42"/>
      <c r="B571" s="3"/>
      <c r="C571" s="3"/>
      <c r="D571" s="3"/>
      <c r="E571" s="3"/>
      <c r="F571" s="46"/>
    </row>
    <row r="572" spans="1:6" ht="18" customHeight="1">
      <c r="A572" s="45" t="s">
        <v>726</v>
      </c>
      <c r="B572" s="39">
        <f>SUM($C572,$D572,$E572)</f>
        <v>0</v>
      </c>
      <c r="C572" s="39">
        <v>0</v>
      </c>
      <c r="D572" s="39">
        <v>0</v>
      </c>
      <c r="E572" s="39">
        <f>TRUNC(SUM($AP565),0)</f>
        <v>0</v>
      </c>
      <c r="F572" s="50"/>
    </row>
    <row r="573" spans="1:6" ht="18" customHeight="1">
      <c r="A573" s="42"/>
      <c r="B573" s="3"/>
      <c r="C573" s="3"/>
      <c r="D573" s="3"/>
      <c r="E573" s="3"/>
      <c r="F573" s="46"/>
    </row>
    <row r="574" spans="1:26" ht="18" customHeight="1">
      <c r="A574" s="42" t="s">
        <v>628</v>
      </c>
      <c r="B574" s="36">
        <f>$B591</f>
        <v>0</v>
      </c>
      <c r="C574" s="36">
        <v>0</v>
      </c>
      <c r="D574" s="36">
        <v>0</v>
      </c>
      <c r="E574" s="36">
        <f>$E591</f>
        <v>0</v>
      </c>
      <c r="F574" s="46" t="s">
        <v>1297</v>
      </c>
      <c r="H574" t="s">
        <v>212</v>
      </c>
      <c r="K574">
        <v>1</v>
      </c>
      <c r="Y574" s="7" t="b">
        <f>EXACT($Z574,$B591)</f>
        <v>0</v>
      </c>
      <c r="Z574" s="39"/>
    </row>
    <row r="575" spans="1:6" ht="18" customHeight="1">
      <c r="A575" s="43"/>
      <c r="B575" s="3"/>
      <c r="C575" s="3"/>
      <c r="D575" s="3"/>
      <c r="E575" s="3"/>
      <c r="F575" s="46"/>
    </row>
    <row r="576" spans="1:11" ht="18" customHeight="1">
      <c r="A576" s="42" t="s">
        <v>1297</v>
      </c>
      <c r="B576" s="3"/>
      <c r="C576" s="3"/>
      <c r="D576" s="3"/>
      <c r="E576" s="3"/>
      <c r="F576" s="46"/>
      <c r="I576" t="s">
        <v>166</v>
      </c>
      <c r="K576" t="s">
        <v>1083</v>
      </c>
    </row>
    <row r="577" spans="1:11" ht="18" customHeight="1">
      <c r="A577" s="42" t="s">
        <v>546</v>
      </c>
      <c r="B577" s="36"/>
      <c r="C577" s="36"/>
      <c r="D577" s="36"/>
      <c r="E577" s="36"/>
      <c r="F577" s="47"/>
      <c r="K577" s="3" t="s">
        <v>56</v>
      </c>
    </row>
    <row r="578" spans="1:11" ht="18" customHeight="1">
      <c r="A578" s="42" t="s">
        <v>1297</v>
      </c>
      <c r="B578" s="36"/>
      <c r="C578" s="36"/>
      <c r="D578" s="36"/>
      <c r="E578" s="36"/>
      <c r="F578" s="47"/>
      <c r="K578" s="3" t="s">
        <v>1297</v>
      </c>
    </row>
    <row r="579" spans="1:11" ht="18" customHeight="1">
      <c r="A579" s="42" t="s">
        <v>711</v>
      </c>
      <c r="B579" s="36"/>
      <c r="C579" s="36"/>
      <c r="D579" s="36"/>
      <c r="E579" s="36"/>
      <c r="F579" s="47"/>
      <c r="K579" s="3" t="s">
        <v>711</v>
      </c>
    </row>
    <row r="580" spans="1:11" ht="18" customHeight="1">
      <c r="A580" s="42" t="s">
        <v>1297</v>
      </c>
      <c r="B580" s="36"/>
      <c r="C580" s="36"/>
      <c r="D580" s="36"/>
      <c r="E580" s="36"/>
      <c r="F580" s="47"/>
      <c r="K580" s="3" t="s">
        <v>1297</v>
      </c>
    </row>
    <row r="581" spans="1:11" ht="18" customHeight="1">
      <c r="A581" s="42" t="s">
        <v>869</v>
      </c>
      <c r="B581" s="36"/>
      <c r="C581" s="36"/>
      <c r="D581" s="36"/>
      <c r="E581" s="36"/>
      <c r="F581" s="47"/>
      <c r="K581" s="3" t="s">
        <v>869</v>
      </c>
    </row>
    <row r="582" spans="1:30" ht="18" customHeight="1">
      <c r="A582" s="44" t="str">
        <f>CONCATENATE("   _x001D_108,990_x001D_ / 1.1 / 10.5  = ",TEXT($AB582,"#,##0.00"))</f>
        <v>   _x001D_108,990_x001D_ / 1.1 / 10.5  = 0.00</v>
      </c>
      <c r="B582" s="36">
        <f>SUM($C582,$D582,$E582)</f>
        <v>0</v>
      </c>
      <c r="C582" s="36"/>
      <c r="D582" s="36"/>
      <c r="E582" s="36">
        <f>$AB582</f>
        <v>0</v>
      </c>
      <c r="F582" s="47" t="s">
        <v>1297</v>
      </c>
      <c r="K582" s="3" t="s">
        <v>1001</v>
      </c>
      <c r="AA582" s="41"/>
      <c r="AB582" s="8"/>
      <c r="AC582" s="41"/>
      <c r="AD582" s="7"/>
    </row>
    <row r="583" spans="1:32" ht="18" customHeight="1">
      <c r="A583" s="42" t="s">
        <v>509</v>
      </c>
      <c r="B583" s="37">
        <f>SUM($C583,$D583,$E583)</f>
        <v>0</v>
      </c>
      <c r="C583" s="37">
        <f>$AB583</f>
        <v>0</v>
      </c>
      <c r="D583" s="37">
        <f>$AD583</f>
        <v>0</v>
      </c>
      <c r="E583" s="37">
        <f>$AF583</f>
        <v>0</v>
      </c>
      <c r="F583" s="48"/>
      <c r="K583" s="3" t="s">
        <v>75</v>
      </c>
      <c r="AE583" s="40"/>
      <c r="AF583" s="7"/>
    </row>
    <row r="584" spans="1:11" ht="18" customHeight="1">
      <c r="A584" s="42" t="s">
        <v>1297</v>
      </c>
      <c r="B584" s="36"/>
      <c r="C584" s="36"/>
      <c r="D584" s="36"/>
      <c r="E584" s="36"/>
      <c r="F584" s="47"/>
      <c r="K584" s="3" t="s">
        <v>1297</v>
      </c>
    </row>
    <row r="585" spans="1:11" ht="18" customHeight="1">
      <c r="A585" s="42" t="s">
        <v>40</v>
      </c>
      <c r="B585" s="36"/>
      <c r="C585" s="36"/>
      <c r="D585" s="36"/>
      <c r="E585" s="36"/>
      <c r="F585" s="47"/>
      <c r="K585" s="3" t="s">
        <v>40</v>
      </c>
    </row>
    <row r="586" spans="1:30" ht="18" customHeight="1">
      <c r="A586" s="44" t="str">
        <f>CONCATENATE("   _x001D_1,530.26_x001D_ / 1.1 * 1.0  = ",TEXT($AB586,"#,##0.00"))</f>
        <v>   _x001D_1,530.26_x001D_ / 1.1 * 1.0  = 0.00</v>
      </c>
      <c r="B586" s="36">
        <f>SUM($C586,$D586,$E586)</f>
        <v>0</v>
      </c>
      <c r="C586" s="36"/>
      <c r="D586" s="36"/>
      <c r="E586" s="36">
        <f>$AB586</f>
        <v>0</v>
      </c>
      <c r="F586" s="47" t="s">
        <v>1297</v>
      </c>
      <c r="K586" s="3" t="s">
        <v>44</v>
      </c>
      <c r="AA586" s="41"/>
      <c r="AB586" s="8"/>
      <c r="AC586" s="41"/>
      <c r="AD586" s="7"/>
    </row>
    <row r="587" spans="1:32" ht="18" customHeight="1">
      <c r="A587" s="42" t="s">
        <v>219</v>
      </c>
      <c r="B587" s="37">
        <f>SUM($C587,$D587,$E587)</f>
        <v>0</v>
      </c>
      <c r="C587" s="37">
        <f>$AB587</f>
        <v>0</v>
      </c>
      <c r="D587" s="37">
        <f>$AD587</f>
        <v>0</v>
      </c>
      <c r="E587" s="37">
        <f>$AF587</f>
        <v>0</v>
      </c>
      <c r="F587" s="48"/>
      <c r="K587" s="3" t="s">
        <v>913</v>
      </c>
      <c r="AE587" s="40"/>
      <c r="AF587" s="7"/>
    </row>
    <row r="588" spans="1:11" ht="18" customHeight="1">
      <c r="A588" s="42" t="s">
        <v>1297</v>
      </c>
      <c r="B588" s="36"/>
      <c r="C588" s="36"/>
      <c r="D588" s="36"/>
      <c r="E588" s="36"/>
      <c r="F588" s="47"/>
      <c r="K588" s="3" t="s">
        <v>1297</v>
      </c>
    </row>
    <row r="589" spans="1:32" ht="18" customHeight="1">
      <c r="A589" s="42" t="s">
        <v>646</v>
      </c>
      <c r="B589" s="38">
        <f>SUM($C589,$D589,$E589)</f>
        <v>0</v>
      </c>
      <c r="C589" s="38">
        <f>$AB589</f>
        <v>0</v>
      </c>
      <c r="D589" s="38">
        <f>$AD589</f>
        <v>0</v>
      </c>
      <c r="E589" s="38">
        <f>$AF589</f>
        <v>0</v>
      </c>
      <c r="F589" s="49"/>
      <c r="K589" s="3" t="s">
        <v>892</v>
      </c>
      <c r="AE589" s="40"/>
      <c r="AF589" s="7"/>
    </row>
    <row r="590" spans="1:6" ht="18" customHeight="1">
      <c r="A590" s="42"/>
      <c r="B590" s="3"/>
      <c r="C590" s="3"/>
      <c r="D590" s="3"/>
      <c r="E590" s="3"/>
      <c r="F590" s="46"/>
    </row>
    <row r="591" spans="1:6" ht="18" customHeight="1">
      <c r="A591" s="45" t="s">
        <v>726</v>
      </c>
      <c r="B591" s="39">
        <f>SUM($C591,$D591,$E591)</f>
        <v>0</v>
      </c>
      <c r="C591" s="39">
        <v>0</v>
      </c>
      <c r="D591" s="39">
        <v>0</v>
      </c>
      <c r="E591" s="39">
        <f>TRUNC(SUM($AD586),0)</f>
        <v>0</v>
      </c>
      <c r="F591" s="50"/>
    </row>
    <row r="592" spans="1:6" ht="18" customHeight="1">
      <c r="A592" s="42"/>
      <c r="B592" s="3"/>
      <c r="C592" s="3"/>
      <c r="D592" s="3"/>
      <c r="E592" s="3"/>
      <c r="F592" s="46"/>
    </row>
    <row r="593" spans="1:26" ht="18" customHeight="1">
      <c r="A593" s="42" t="s">
        <v>503</v>
      </c>
      <c r="B593" s="36">
        <f>$B624</f>
        <v>0</v>
      </c>
      <c r="C593" s="36">
        <f>$C624</f>
        <v>0</v>
      </c>
      <c r="D593" s="36">
        <f>$D624</f>
        <v>0</v>
      </c>
      <c r="E593" s="36">
        <f>$E624</f>
        <v>0</v>
      </c>
      <c r="F593" s="46" t="s">
        <v>1297</v>
      </c>
      <c r="H593" t="s">
        <v>635</v>
      </c>
      <c r="K593">
        <v>1</v>
      </c>
      <c r="Y593" s="7" t="b">
        <f>EXACT($Z593,$B624)</f>
        <v>0</v>
      </c>
      <c r="Z593" s="39"/>
    </row>
    <row r="594" spans="1:6" ht="18" customHeight="1">
      <c r="A594" s="43"/>
      <c r="B594" s="3"/>
      <c r="C594" s="3"/>
      <c r="D594" s="3"/>
      <c r="E594" s="3"/>
      <c r="F594" s="46"/>
    </row>
    <row r="595" spans="1:11" ht="18" customHeight="1">
      <c r="A595" s="42" t="s">
        <v>1297</v>
      </c>
      <c r="B595" s="3"/>
      <c r="C595" s="3"/>
      <c r="D595" s="3"/>
      <c r="E595" s="3"/>
      <c r="F595" s="46"/>
      <c r="I595" t="s">
        <v>166</v>
      </c>
      <c r="K595" t="s">
        <v>1083</v>
      </c>
    </row>
    <row r="596" spans="1:11" ht="18" customHeight="1">
      <c r="A596" s="42" t="s">
        <v>1266</v>
      </c>
      <c r="B596" s="36"/>
      <c r="C596" s="36"/>
      <c r="D596" s="36"/>
      <c r="E596" s="36"/>
      <c r="F596" s="47"/>
      <c r="K596" s="3" t="s">
        <v>1266</v>
      </c>
    </row>
    <row r="597" spans="1:11" ht="18" customHeight="1">
      <c r="A597" s="42" t="s">
        <v>1297</v>
      </c>
      <c r="B597" s="36"/>
      <c r="C597" s="36"/>
      <c r="D597" s="36"/>
      <c r="E597" s="36"/>
      <c r="F597" s="47"/>
      <c r="K597" s="3" t="s">
        <v>1297</v>
      </c>
    </row>
    <row r="598" spans="1:11" ht="18" customHeight="1">
      <c r="A598" s="42" t="s">
        <v>589</v>
      </c>
      <c r="B598" s="36"/>
      <c r="C598" s="36"/>
      <c r="D598" s="36"/>
      <c r="E598" s="36"/>
      <c r="F598" s="47"/>
      <c r="K598" s="3" t="s">
        <v>589</v>
      </c>
    </row>
    <row r="599" spans="1:11" ht="18" customHeight="1">
      <c r="A599" s="42" t="s">
        <v>1297</v>
      </c>
      <c r="B599" s="36"/>
      <c r="C599" s="36"/>
      <c r="D599" s="36"/>
      <c r="E599" s="36"/>
      <c r="F599" s="47"/>
      <c r="K599" s="3" t="s">
        <v>1297</v>
      </c>
    </row>
    <row r="600" spans="1:11" ht="18" customHeight="1">
      <c r="A600" s="42" t="s">
        <v>1005</v>
      </c>
      <c r="B600" s="36"/>
      <c r="C600" s="36"/>
      <c r="D600" s="36"/>
      <c r="E600" s="36"/>
      <c r="F600" s="47"/>
      <c r="K600" s="3" t="s">
        <v>1005</v>
      </c>
    </row>
    <row r="601" spans="1:11" ht="18" customHeight="1">
      <c r="A601" s="42" t="s">
        <v>1297</v>
      </c>
      <c r="B601" s="36"/>
      <c r="C601" s="36"/>
      <c r="D601" s="36"/>
      <c r="E601" s="36"/>
      <c r="F601" s="47"/>
      <c r="K601" s="3" t="s">
        <v>1297</v>
      </c>
    </row>
    <row r="602" spans="1:38" ht="18" customHeight="1">
      <c r="A602" s="44" t="str">
        <f>CONCATENATE("  E=",TEXT($AB602,"#,##0.0"),",  L=",TEXT($AF602,"#,##0.0"),"  KM ,  V1=",TEXT($AJ602,"#,##0.0"))</f>
        <v>  E=0.0,  L=0.0  KM ,  V1=0.0</v>
      </c>
      <c r="B602" s="36"/>
      <c r="C602" s="36"/>
      <c r="D602" s="36"/>
      <c r="E602" s="36"/>
      <c r="F602" s="47"/>
      <c r="K602" s="10" t="str">
        <f>SUBSTITUTE(SUBSTITUTE(SUBSTITUTE(SUBSTITUTE("  E = 0.9,  L = 0.1 _x001D_KM_x001D_,  V1 = 15.0","0.9",TEXT($AB602,"#,##0.0"),1),"0.1",TEXT($AF602,"#,##0.0"),1),"15.0",TEXT($AJ602,"#,##0.0"),1),"_x001D_","'")</f>
        <v>  E = 0.0,  L = 0.0 'KM',  V1 = 0.0</v>
      </c>
      <c r="AA602" s="40"/>
      <c r="AB602" s="6"/>
      <c r="AC602" s="40"/>
      <c r="AD602" s="7"/>
      <c r="AE602" s="40"/>
      <c r="AF602" s="6"/>
      <c r="AG602" s="40"/>
      <c r="AH602" s="7"/>
      <c r="AI602" s="40"/>
      <c r="AJ602" s="6"/>
      <c r="AK602" s="40"/>
      <c r="AL602" s="7"/>
    </row>
    <row r="603" spans="1:11" ht="18" customHeight="1">
      <c r="A603" s="42" t="s">
        <v>1297</v>
      </c>
      <c r="B603" s="36"/>
      <c r="C603" s="36"/>
      <c r="D603" s="36"/>
      <c r="E603" s="36"/>
      <c r="F603" s="47"/>
      <c r="K603" s="3" t="s">
        <v>1297</v>
      </c>
    </row>
    <row r="604" spans="1:11" ht="18" customHeight="1">
      <c r="A604" s="42" t="s">
        <v>439</v>
      </c>
      <c r="B604" s="36"/>
      <c r="C604" s="36"/>
      <c r="D604" s="36"/>
      <c r="E604" s="36"/>
      <c r="F604" s="47"/>
      <c r="K604" s="3" t="s">
        <v>439</v>
      </c>
    </row>
    <row r="605" spans="1:11" ht="18" customHeight="1">
      <c r="A605" s="42" t="s">
        <v>1297</v>
      </c>
      <c r="B605" s="36"/>
      <c r="C605" s="36"/>
      <c r="D605" s="36"/>
      <c r="E605" s="36"/>
      <c r="F605" s="47"/>
      <c r="K605" s="3" t="s">
        <v>1297</v>
      </c>
    </row>
    <row r="606" spans="1:11" ht="18" customHeight="1">
      <c r="A606" s="42" t="s">
        <v>284</v>
      </c>
      <c r="B606" s="36"/>
      <c r="C606" s="36"/>
      <c r="D606" s="36"/>
      <c r="E606" s="36"/>
      <c r="F606" s="47"/>
      <c r="K606" s="3" t="s">
        <v>284</v>
      </c>
    </row>
    <row r="607" spans="1:11" ht="18" customHeight="1">
      <c r="A607" s="42" t="s">
        <v>1297</v>
      </c>
      <c r="B607" s="36"/>
      <c r="C607" s="36"/>
      <c r="D607" s="36"/>
      <c r="E607" s="36"/>
      <c r="F607" s="47"/>
      <c r="K607" s="3" t="s">
        <v>1297</v>
      </c>
    </row>
    <row r="608" spans="1:42" ht="18" customHeight="1">
      <c r="A608" s="44" t="str">
        <f>CONCATENATE("  T2 = ( ",TEXT($AB608,"#,##0.00")," / ",TEXT($AF608,"#,##0.00")," ) * 2 * 60 = ",TEXT($AN608,"#,##0.00"))</f>
        <v>  T2 = ( 0.00 / 0.00 ) * 2 * 60 = 0.00</v>
      </c>
      <c r="B608" s="36">
        <f>SUM($C608,$D608,$E608)</f>
        <v>0</v>
      </c>
      <c r="C608" s="36"/>
      <c r="D608" s="36"/>
      <c r="E608" s="36"/>
      <c r="F608" s="47"/>
      <c r="K608" s="3" t="s">
        <v>312</v>
      </c>
      <c r="AA608" s="40"/>
      <c r="AB608" s="8"/>
      <c r="AC608" s="40"/>
      <c r="AD608" s="7"/>
      <c r="AE608" s="40"/>
      <c r="AF608" s="8"/>
      <c r="AG608" s="40"/>
      <c r="AH608" s="7"/>
      <c r="AI608" s="40"/>
      <c r="AJ608" s="8"/>
      <c r="AK608" s="40"/>
      <c r="AL608" s="7"/>
      <c r="AM608" s="40"/>
      <c r="AN608" s="8"/>
      <c r="AO608" s="40"/>
      <c r="AP608" s="7"/>
    </row>
    <row r="609" spans="1:11" ht="18" customHeight="1">
      <c r="A609" s="42" t="s">
        <v>1297</v>
      </c>
      <c r="B609" s="36"/>
      <c r="C609" s="36"/>
      <c r="D609" s="36"/>
      <c r="E609" s="36"/>
      <c r="F609" s="47"/>
      <c r="K609" s="3" t="s">
        <v>1297</v>
      </c>
    </row>
    <row r="610" spans="1:38" ht="18" customHeight="1">
      <c r="A610" s="44" t="str">
        <f>CONCATENATE("  CM = 5.0 + 10 + 5 + 20 + ",TEXT($AB610,"#,##0.00")," = ",TEXT($AJ610,"#,##0.00"))</f>
        <v>  CM = 5.0 + 10 + 5 + 20 + 0.00 = 0.00</v>
      </c>
      <c r="B610" s="36">
        <f>SUM($C610,$D610,$E610)</f>
        <v>0</v>
      </c>
      <c r="C610" s="36"/>
      <c r="D610" s="36"/>
      <c r="E610" s="36"/>
      <c r="F610" s="47"/>
      <c r="K610" s="3" t="s">
        <v>1287</v>
      </c>
      <c r="AA610" s="40"/>
      <c r="AB610" s="8"/>
      <c r="AC610" s="40"/>
      <c r="AD610" s="7"/>
      <c r="AE610" s="40"/>
      <c r="AF610" s="8"/>
      <c r="AG610" s="40"/>
      <c r="AH610" s="7"/>
      <c r="AI610" s="40"/>
      <c r="AJ610" s="8"/>
      <c r="AK610" s="40"/>
      <c r="AL610" s="7"/>
    </row>
    <row r="611" spans="1:11" ht="18" customHeight="1">
      <c r="A611" s="42" t="s">
        <v>1297</v>
      </c>
      <c r="B611" s="36"/>
      <c r="C611" s="36"/>
      <c r="D611" s="36"/>
      <c r="E611" s="36"/>
      <c r="F611" s="47"/>
      <c r="K611" s="3" t="s">
        <v>1297</v>
      </c>
    </row>
    <row r="612" spans="1:42" ht="18" customHeight="1">
      <c r="A612" s="44" t="str">
        <f>CONCATENATE("  Q = 60 * 5.5 * ",TEXT($AB612,"#,##0.00")," / ",TEXT($AF612,"#,##0.00")," =",TEXT($AN612,"#,##0.00"))</f>
        <v>  Q = 60 * 5.5 * 0.00 / 0.00 =0.00</v>
      </c>
      <c r="B612" s="36">
        <f>SUM($C612,$D612,$E612)</f>
        <v>0</v>
      </c>
      <c r="C612" s="36"/>
      <c r="D612" s="36"/>
      <c r="E612" s="36"/>
      <c r="F612" s="47"/>
      <c r="K612" s="3" t="s">
        <v>248</v>
      </c>
      <c r="AA612" s="40"/>
      <c r="AB612" s="8"/>
      <c r="AC612" s="40"/>
      <c r="AD612" s="7"/>
      <c r="AE612" s="40"/>
      <c r="AF612" s="8"/>
      <c r="AG612" s="40"/>
      <c r="AH612" s="7"/>
      <c r="AI612" s="40"/>
      <c r="AJ612" s="8"/>
      <c r="AK612" s="40"/>
      <c r="AL612" s="7"/>
      <c r="AM612" s="40"/>
      <c r="AN612" s="8"/>
      <c r="AO612" s="40"/>
      <c r="AP612" s="7"/>
    </row>
    <row r="613" spans="1:11" ht="18" customHeight="1">
      <c r="A613" s="42" t="s">
        <v>1297</v>
      </c>
      <c r="B613" s="36"/>
      <c r="C613" s="36"/>
      <c r="D613" s="36"/>
      <c r="E613" s="36"/>
      <c r="F613" s="47"/>
      <c r="K613" s="3" t="s">
        <v>1297</v>
      </c>
    </row>
    <row r="614" spans="1:34" ht="18" customHeight="1">
      <c r="A614" s="44" t="str">
        <f>CONCATENATE("  T0 = 10 + 20 + T2 = ",TEXT($AF614,"#,##0.00"))</f>
        <v>  T0 = 10 + 20 + T2 = 0.00</v>
      </c>
      <c r="B614" s="36">
        <f>SUM($C614,$D614,$E614)</f>
        <v>0</v>
      </c>
      <c r="C614" s="36"/>
      <c r="D614" s="36"/>
      <c r="E614" s="36"/>
      <c r="F614" s="47"/>
      <c r="K614" s="3" t="s">
        <v>247</v>
      </c>
      <c r="AA614" s="40"/>
      <c r="AB614" s="8"/>
      <c r="AC614" s="40"/>
      <c r="AD614" s="7"/>
      <c r="AE614" s="40"/>
      <c r="AF614" s="8"/>
      <c r="AG614" s="40"/>
      <c r="AH614" s="7"/>
    </row>
    <row r="615" spans="1:11" ht="18" customHeight="1">
      <c r="A615" s="42" t="s">
        <v>1297</v>
      </c>
      <c r="B615" s="36"/>
      <c r="C615" s="36"/>
      <c r="D615" s="36"/>
      <c r="E615" s="36"/>
      <c r="F615" s="47"/>
      <c r="K615" s="3" t="s">
        <v>1297</v>
      </c>
    </row>
    <row r="616" spans="1:42" ht="18" customHeight="1">
      <c r="A616" s="44" t="str">
        <f>CONCATENATE("   재 료 비 :  _x001D_20,190.3_x001D_ / ",TEXT($AB616,"#,##0.00")," * ",TEXT($AF616,"#,##0.00")," / ",TEXT($AJ616,"#,##0.00")," = ",TEXT($AN616,"#,##0.00"))</f>
        <v>   재 료 비 :  _x001D_20,190.3_x001D_ / 0.00 * 0.00 / 0.00 = 0.00</v>
      </c>
      <c r="B616" s="36">
        <f>SUM($C616,$D616,$E616)</f>
        <v>0</v>
      </c>
      <c r="C616" s="36">
        <f>$AN616</f>
        <v>0</v>
      </c>
      <c r="D616" s="36"/>
      <c r="E616" s="36"/>
      <c r="F616" s="47" t="s">
        <v>1297</v>
      </c>
      <c r="K616" s="3" t="s">
        <v>130</v>
      </c>
      <c r="AA616" s="40"/>
      <c r="AB616" s="8"/>
      <c r="AC616" s="40"/>
      <c r="AD616" s="7"/>
      <c r="AE616" s="40"/>
      <c r="AF616" s="8"/>
      <c r="AG616" s="40"/>
      <c r="AH616" s="7"/>
      <c r="AI616" s="40"/>
      <c r="AJ616" s="8"/>
      <c r="AK616" s="40"/>
      <c r="AL616" s="7"/>
      <c r="AM616" s="41"/>
      <c r="AN616" s="8"/>
      <c r="AO616" s="41"/>
      <c r="AP616" s="7"/>
    </row>
    <row r="617" spans="1:11" ht="18" customHeight="1">
      <c r="A617" s="42" t="s">
        <v>1297</v>
      </c>
      <c r="B617" s="36"/>
      <c r="C617" s="36"/>
      <c r="D617" s="36"/>
      <c r="E617" s="36"/>
      <c r="F617" s="47"/>
      <c r="K617" s="3" t="s">
        <v>1297</v>
      </c>
    </row>
    <row r="618" spans="1:34" ht="18" customHeight="1">
      <c r="A618" s="44" t="str">
        <f>CONCATENATE("   노 무 비 :  _x001D_39,645_x001D_ / ",TEXT($AB618,"#,##0.00")," = ",TEXT($AF618,"#,##0.00"))</f>
        <v>   노 무 비 :  _x001D_39,645_x001D_ / 0.00 = 0.00</v>
      </c>
      <c r="B618" s="36">
        <f>SUM($C618,$D618,$E618)</f>
        <v>0</v>
      </c>
      <c r="C618" s="36"/>
      <c r="D618" s="36">
        <f>$AF618</f>
        <v>0</v>
      </c>
      <c r="E618" s="36"/>
      <c r="F618" s="47" t="s">
        <v>1297</v>
      </c>
      <c r="K618" s="3" t="s">
        <v>566</v>
      </c>
      <c r="AA618" s="40"/>
      <c r="AB618" s="8"/>
      <c r="AC618" s="40"/>
      <c r="AD618" s="7"/>
      <c r="AE618" s="41"/>
      <c r="AF618" s="8"/>
      <c r="AG618" s="41"/>
      <c r="AH618" s="7"/>
    </row>
    <row r="619" spans="1:11" ht="18" customHeight="1">
      <c r="A619" s="42" t="s">
        <v>1297</v>
      </c>
      <c r="B619" s="36"/>
      <c r="C619" s="36"/>
      <c r="D619" s="36"/>
      <c r="E619" s="36"/>
      <c r="F619" s="47"/>
      <c r="K619" s="3" t="s">
        <v>1297</v>
      </c>
    </row>
    <row r="620" spans="1:34" ht="18" customHeight="1">
      <c r="A620" s="44" t="str">
        <f>CONCATENATE("   경    비 :  _x001D_9,041_x001D_ / ",TEXT($AB620,"#,##0.00")," = ",TEXT($AF620,"#,##0.00"))</f>
        <v>   경    비 :  _x001D_9,041_x001D_ / 0.00 = 0.00</v>
      </c>
      <c r="B620" s="36">
        <f>SUM($C620,$D620,$E620)</f>
        <v>0</v>
      </c>
      <c r="C620" s="36"/>
      <c r="D620" s="36"/>
      <c r="E620" s="36">
        <f>$AF620</f>
        <v>0</v>
      </c>
      <c r="F620" s="47" t="s">
        <v>1297</v>
      </c>
      <c r="K620" s="3" t="s">
        <v>654</v>
      </c>
      <c r="AA620" s="40"/>
      <c r="AB620" s="8"/>
      <c r="AC620" s="40"/>
      <c r="AD620" s="7"/>
      <c r="AE620" s="41"/>
      <c r="AF620" s="8"/>
      <c r="AG620" s="41"/>
      <c r="AH620" s="7"/>
    </row>
    <row r="621" spans="1:11" ht="18" customHeight="1">
      <c r="A621" s="42" t="s">
        <v>1297</v>
      </c>
      <c r="B621" s="36"/>
      <c r="C621" s="36"/>
      <c r="D621" s="36"/>
      <c r="E621" s="36"/>
      <c r="F621" s="47"/>
      <c r="K621" s="3" t="s">
        <v>1297</v>
      </c>
    </row>
    <row r="622" spans="1:32" ht="18" customHeight="1">
      <c r="A622" s="42" t="s">
        <v>1247</v>
      </c>
      <c r="B622" s="38">
        <f>SUM($C622,$D622,$E622)</f>
        <v>0</v>
      </c>
      <c r="C622" s="38">
        <f>$AB622</f>
        <v>0</v>
      </c>
      <c r="D622" s="38">
        <f>$AD622</f>
        <v>0</v>
      </c>
      <c r="E622" s="38">
        <f>$AF622</f>
        <v>0</v>
      </c>
      <c r="F622" s="49"/>
      <c r="K622" s="3" t="s">
        <v>358</v>
      </c>
      <c r="AA622" s="40"/>
      <c r="AB622" s="7"/>
      <c r="AC622" s="40"/>
      <c r="AD622" s="7"/>
      <c r="AE622" s="40"/>
      <c r="AF622" s="7"/>
    </row>
    <row r="623" spans="1:6" ht="18" customHeight="1">
      <c r="A623" s="42"/>
      <c r="B623" s="3"/>
      <c r="C623" s="3"/>
      <c r="D623" s="3"/>
      <c r="E623" s="3"/>
      <c r="F623" s="46"/>
    </row>
    <row r="624" spans="1:6" ht="18" customHeight="1">
      <c r="A624" s="45" t="s">
        <v>726</v>
      </c>
      <c r="B624" s="39">
        <f>SUM($C624,$D624,$E624)</f>
        <v>0</v>
      </c>
      <c r="C624" s="39">
        <f>TRUNC(SUM($AP616),0)</f>
        <v>0</v>
      </c>
      <c r="D624" s="39">
        <f>TRUNC(SUM($AH618),0)</f>
        <v>0</v>
      </c>
      <c r="E624" s="39">
        <f>TRUNC(SUM($AH620),0)</f>
        <v>0</v>
      </c>
      <c r="F624" s="50"/>
    </row>
    <row r="625" spans="1:6" ht="18" customHeight="1">
      <c r="A625" s="42"/>
      <c r="B625" s="3"/>
      <c r="C625" s="3"/>
      <c r="D625" s="3"/>
      <c r="E625" s="3"/>
      <c r="F625" s="46"/>
    </row>
    <row r="626" spans="1:26" ht="18" customHeight="1">
      <c r="A626" s="42" t="s">
        <v>218</v>
      </c>
      <c r="B626" s="36">
        <f>$B652</f>
        <v>0</v>
      </c>
      <c r="C626" s="36">
        <v>0</v>
      </c>
      <c r="D626" s="36">
        <f>$D652</f>
        <v>0</v>
      </c>
      <c r="E626" s="36">
        <v>0</v>
      </c>
      <c r="F626" s="46" t="s">
        <v>1297</v>
      </c>
      <c r="H626" t="s">
        <v>1288</v>
      </c>
      <c r="K626">
        <v>1</v>
      </c>
      <c r="Y626" s="7" t="b">
        <f>EXACT($Z626,$B652)</f>
        <v>0</v>
      </c>
      <c r="Z626" s="39"/>
    </row>
    <row r="627" spans="1:6" ht="18" customHeight="1">
      <c r="A627" s="43"/>
      <c r="B627" s="3"/>
      <c r="C627" s="3"/>
      <c r="D627" s="3"/>
      <c r="E627" s="3"/>
      <c r="F627" s="46"/>
    </row>
    <row r="628" spans="1:11" ht="18" customHeight="1">
      <c r="A628" s="42" t="s">
        <v>1297</v>
      </c>
      <c r="B628" s="3"/>
      <c r="C628" s="3"/>
      <c r="D628" s="3"/>
      <c r="E628" s="3"/>
      <c r="F628" s="46"/>
      <c r="I628" t="s">
        <v>166</v>
      </c>
      <c r="K628" t="s">
        <v>1083</v>
      </c>
    </row>
    <row r="629" spans="1:11" ht="18" customHeight="1">
      <c r="A629" s="42" t="s">
        <v>7</v>
      </c>
      <c r="B629" s="36"/>
      <c r="C629" s="36"/>
      <c r="D629" s="36"/>
      <c r="E629" s="36"/>
      <c r="F629" s="47"/>
      <c r="K629" s="3" t="s">
        <v>7</v>
      </c>
    </row>
    <row r="630" spans="1:11" ht="18" customHeight="1">
      <c r="A630" s="42" t="s">
        <v>1297</v>
      </c>
      <c r="B630" s="36"/>
      <c r="C630" s="36"/>
      <c r="D630" s="36"/>
      <c r="E630" s="36"/>
      <c r="F630" s="47"/>
      <c r="K630" s="3" t="s">
        <v>1297</v>
      </c>
    </row>
    <row r="631" spans="1:11" ht="18" customHeight="1">
      <c r="A631" s="42" t="s">
        <v>123</v>
      </c>
      <c r="B631" s="36"/>
      <c r="C631" s="36"/>
      <c r="D631" s="36"/>
      <c r="E631" s="36"/>
      <c r="F631" s="47"/>
      <c r="K631" s="3" t="s">
        <v>242</v>
      </c>
    </row>
    <row r="632" spans="1:11" ht="18" customHeight="1">
      <c r="A632" s="42" t="s">
        <v>1297</v>
      </c>
      <c r="B632" s="36"/>
      <c r="C632" s="36"/>
      <c r="D632" s="36"/>
      <c r="E632" s="36"/>
      <c r="F632" s="47"/>
      <c r="K632" s="3" t="s">
        <v>1297</v>
      </c>
    </row>
    <row r="633" spans="1:11" ht="18" customHeight="1">
      <c r="A633" s="42" t="s">
        <v>160</v>
      </c>
      <c r="B633" s="36"/>
      <c r="C633" s="36"/>
      <c r="D633" s="36"/>
      <c r="E633" s="36"/>
      <c r="F633" s="47"/>
      <c r="K633" s="3" t="s">
        <v>1045</v>
      </c>
    </row>
    <row r="634" spans="1:11" ht="18" customHeight="1">
      <c r="A634" s="42" t="s">
        <v>1297</v>
      </c>
      <c r="B634" s="36"/>
      <c r="C634" s="36"/>
      <c r="D634" s="36"/>
      <c r="E634" s="36"/>
      <c r="F634" s="47"/>
      <c r="K634" s="3" t="s">
        <v>1297</v>
      </c>
    </row>
    <row r="635" spans="1:11" ht="18" customHeight="1">
      <c r="A635" s="42" t="s">
        <v>811</v>
      </c>
      <c r="B635" s="36"/>
      <c r="C635" s="36"/>
      <c r="D635" s="36"/>
      <c r="E635" s="36"/>
      <c r="F635" s="47"/>
      <c r="K635" s="3" t="s">
        <v>882</v>
      </c>
    </row>
    <row r="636" spans="1:11" ht="18" customHeight="1">
      <c r="A636" s="42" t="s">
        <v>1297</v>
      </c>
      <c r="B636" s="36"/>
      <c r="C636" s="36"/>
      <c r="D636" s="36"/>
      <c r="E636" s="36"/>
      <c r="F636" s="47"/>
      <c r="K636" s="3" t="s">
        <v>1297</v>
      </c>
    </row>
    <row r="637" spans="1:11" ht="18" customHeight="1">
      <c r="A637" s="42" t="s">
        <v>357</v>
      </c>
      <c r="B637" s="36"/>
      <c r="C637" s="36"/>
      <c r="D637" s="36"/>
      <c r="E637" s="36"/>
      <c r="F637" s="47"/>
      <c r="K637" s="3" t="s">
        <v>300</v>
      </c>
    </row>
    <row r="638" spans="1:11" ht="18" customHeight="1">
      <c r="A638" s="42" t="s">
        <v>1297</v>
      </c>
      <c r="B638" s="36"/>
      <c r="C638" s="36"/>
      <c r="D638" s="36"/>
      <c r="E638" s="36"/>
      <c r="F638" s="47"/>
      <c r="K638" s="3" t="s">
        <v>1297</v>
      </c>
    </row>
    <row r="639" spans="1:11" ht="18" customHeight="1">
      <c r="A639" s="42" t="s">
        <v>1023</v>
      </c>
      <c r="B639" s="37">
        <f>SUM($C639,$D639,$E639)</f>
        <v>0</v>
      </c>
      <c r="C639" s="37">
        <f>$AB639</f>
        <v>0</v>
      </c>
      <c r="D639" s="37">
        <f>$AD639</f>
        <v>0</v>
      </c>
      <c r="E639" s="37">
        <f>$AF639</f>
        <v>0</v>
      </c>
      <c r="F639" s="48"/>
      <c r="K639" s="3" t="s">
        <v>113</v>
      </c>
    </row>
    <row r="640" spans="1:11" ht="18" customHeight="1">
      <c r="A640" s="42" t="s">
        <v>1297</v>
      </c>
      <c r="B640" s="36"/>
      <c r="C640" s="36"/>
      <c r="D640" s="36"/>
      <c r="E640" s="36"/>
      <c r="F640" s="47"/>
      <c r="K640" s="3" t="s">
        <v>1297</v>
      </c>
    </row>
    <row r="641" spans="1:11" ht="18" customHeight="1">
      <c r="A641" s="42" t="s">
        <v>252</v>
      </c>
      <c r="B641" s="36"/>
      <c r="C641" s="36"/>
      <c r="D641" s="36"/>
      <c r="E641" s="36"/>
      <c r="F641" s="47"/>
      <c r="K641" s="3" t="s">
        <v>278</v>
      </c>
    </row>
    <row r="642" spans="1:11" ht="18" customHeight="1">
      <c r="A642" s="42" t="s">
        <v>1297</v>
      </c>
      <c r="B642" s="36"/>
      <c r="C642" s="36"/>
      <c r="D642" s="36"/>
      <c r="E642" s="36"/>
      <c r="F642" s="47"/>
      <c r="K642" s="3" t="s">
        <v>1297</v>
      </c>
    </row>
    <row r="643" spans="1:30" ht="18" customHeight="1">
      <c r="A643" s="44" t="str">
        <f>CONCATENATE("        1) 콘크리트공 : 1.29 인 * _x001D_227,269_x001D_  = ",TEXT($AB643,"#,##0.00"))</f>
        <v>        1) 콘크리트공 : 1.29 인 * _x001D_227,269_x001D_  = 0.00</v>
      </c>
      <c r="B643" s="36">
        <f>SUM($C643,$D643,$E643)</f>
        <v>0</v>
      </c>
      <c r="C643" s="36"/>
      <c r="D643" s="36">
        <f>$AB643</f>
        <v>0</v>
      </c>
      <c r="E643" s="36"/>
      <c r="F643" s="47" t="s">
        <v>1297</v>
      </c>
      <c r="K643" s="3" t="s">
        <v>70</v>
      </c>
      <c r="AA643" s="41"/>
      <c r="AB643" s="8"/>
      <c r="AC643" s="41"/>
      <c r="AD643" s="7"/>
    </row>
    <row r="644" spans="1:11" ht="18" customHeight="1">
      <c r="A644" s="42" t="s">
        <v>1297</v>
      </c>
      <c r="B644" s="36"/>
      <c r="C644" s="36"/>
      <c r="D644" s="36"/>
      <c r="E644" s="36"/>
      <c r="F644" s="47"/>
      <c r="K644" s="3" t="s">
        <v>1297</v>
      </c>
    </row>
    <row r="645" spans="1:30" ht="18" customHeight="1">
      <c r="A645" s="44" t="str">
        <f>CONCATENATE("        2) 보통인부 : 1.36 인 * _x001D_148,510_x001D_  = ",TEXT($AB645,"#,##0.00"))</f>
        <v>        2) 보통인부 : 1.36 인 * _x001D_148,510_x001D_  = 0.00</v>
      </c>
      <c r="B645" s="36">
        <f>SUM($C645,$D645,$E645)</f>
        <v>0</v>
      </c>
      <c r="C645" s="36"/>
      <c r="D645" s="36">
        <f>$AB645</f>
        <v>0</v>
      </c>
      <c r="E645" s="36"/>
      <c r="F645" s="47" t="s">
        <v>1297</v>
      </c>
      <c r="K645" s="3" t="s">
        <v>619</v>
      </c>
      <c r="AA645" s="41"/>
      <c r="AB645" s="8"/>
      <c r="AC645" s="41"/>
      <c r="AD645" s="7"/>
    </row>
    <row r="646" spans="1:11" ht="18" customHeight="1">
      <c r="A646" s="42" t="s">
        <v>1297</v>
      </c>
      <c r="B646" s="36"/>
      <c r="C646" s="36"/>
      <c r="D646" s="36"/>
      <c r="E646" s="36"/>
      <c r="F646" s="47"/>
      <c r="K646" s="3" t="s">
        <v>1297</v>
      </c>
    </row>
    <row r="647" spans="1:30" ht="18" customHeight="1">
      <c r="A647" s="42" t="s">
        <v>1023</v>
      </c>
      <c r="B647" s="37">
        <f>SUM($C647,$D647,$E647)</f>
        <v>0</v>
      </c>
      <c r="C647" s="37">
        <f>$AB647</f>
        <v>0</v>
      </c>
      <c r="D647" s="37">
        <f>$AD647</f>
        <v>0</v>
      </c>
      <c r="E647" s="37">
        <f>$AF647</f>
        <v>0</v>
      </c>
      <c r="F647" s="48"/>
      <c r="K647" s="3" t="s">
        <v>113</v>
      </c>
      <c r="AC647" s="40"/>
      <c r="AD647" s="7"/>
    </row>
    <row r="648" spans="1:11" ht="18" customHeight="1">
      <c r="A648" s="42" t="s">
        <v>1297</v>
      </c>
      <c r="B648" s="36"/>
      <c r="C648" s="36"/>
      <c r="D648" s="36"/>
      <c r="E648" s="36"/>
      <c r="F648" s="47"/>
      <c r="K648" s="3" t="s">
        <v>1297</v>
      </c>
    </row>
    <row r="649" spans="1:11" ht="18" customHeight="1">
      <c r="A649" s="42" t="s">
        <v>1297</v>
      </c>
      <c r="B649" s="36"/>
      <c r="C649" s="36"/>
      <c r="D649" s="36"/>
      <c r="E649" s="36"/>
      <c r="F649" s="47"/>
      <c r="K649" s="3" t="s">
        <v>1297</v>
      </c>
    </row>
    <row r="650" spans="1:30" ht="18" customHeight="1">
      <c r="A650" s="42" t="s">
        <v>1196</v>
      </c>
      <c r="B650" s="38">
        <f>SUM($C650,$D650,$E650)</f>
        <v>0</v>
      </c>
      <c r="C650" s="38">
        <f>$AB650</f>
        <v>0</v>
      </c>
      <c r="D650" s="38">
        <f>$AD650</f>
        <v>0</v>
      </c>
      <c r="E650" s="38">
        <f>$AF650</f>
        <v>0</v>
      </c>
      <c r="F650" s="49"/>
      <c r="K650" s="3" t="s">
        <v>253</v>
      </c>
      <c r="AC650" s="40"/>
      <c r="AD650" s="7"/>
    </row>
    <row r="651" spans="1:6" ht="18" customHeight="1">
      <c r="A651" s="42"/>
      <c r="B651" s="3"/>
      <c r="C651" s="3"/>
      <c r="D651" s="3"/>
      <c r="E651" s="3"/>
      <c r="F651" s="46"/>
    </row>
    <row r="652" spans="1:6" ht="18" customHeight="1">
      <c r="A652" s="45" t="s">
        <v>726</v>
      </c>
      <c r="B652" s="39">
        <f>SUM($C652,$D652,$E652)</f>
        <v>0</v>
      </c>
      <c r="C652" s="39">
        <v>0</v>
      </c>
      <c r="D652" s="39">
        <f>TRUNC(SUM($AD645),0)</f>
        <v>0</v>
      </c>
      <c r="E652" s="39">
        <v>0</v>
      </c>
      <c r="F652" s="50"/>
    </row>
    <row r="653" spans="1:6" ht="18" customHeight="1">
      <c r="A653" s="42"/>
      <c r="B653" s="3"/>
      <c r="C653" s="3"/>
      <c r="D653" s="3"/>
      <c r="E653" s="3"/>
      <c r="F653" s="46"/>
    </row>
    <row r="654" spans="1:26" ht="18" customHeight="1">
      <c r="A654" s="42" t="s">
        <v>658</v>
      </c>
      <c r="B654" s="36">
        <f>$B695</f>
        <v>0</v>
      </c>
      <c r="C654" s="36">
        <f>$C695</f>
        <v>0</v>
      </c>
      <c r="D654" s="36">
        <f>$D695</f>
        <v>0</v>
      </c>
      <c r="E654" s="36">
        <v>0</v>
      </c>
      <c r="F654" s="46" t="s">
        <v>1297</v>
      </c>
      <c r="H654" t="s">
        <v>830</v>
      </c>
      <c r="K654">
        <v>1</v>
      </c>
      <c r="Y654" s="7" t="b">
        <f>EXACT($Z654,$B695)</f>
        <v>0</v>
      </c>
      <c r="Z654" s="39"/>
    </row>
    <row r="655" spans="1:6" ht="18" customHeight="1">
      <c r="A655" s="43"/>
      <c r="B655" s="3"/>
      <c r="C655" s="3"/>
      <c r="D655" s="3"/>
      <c r="E655" s="3"/>
      <c r="F655" s="46"/>
    </row>
    <row r="656" spans="1:11" ht="18" customHeight="1">
      <c r="A656" s="42" t="s">
        <v>1297</v>
      </c>
      <c r="B656" s="3"/>
      <c r="C656" s="3"/>
      <c r="D656" s="3"/>
      <c r="E656" s="3"/>
      <c r="F656" s="46"/>
      <c r="I656" t="s">
        <v>166</v>
      </c>
      <c r="K656" t="s">
        <v>1083</v>
      </c>
    </row>
    <row r="657" spans="1:11" ht="18" customHeight="1">
      <c r="A657" s="42" t="s">
        <v>288</v>
      </c>
      <c r="B657" s="36"/>
      <c r="C657" s="36"/>
      <c r="D657" s="36"/>
      <c r="E657" s="36"/>
      <c r="F657" s="47"/>
      <c r="K657" s="3" t="s">
        <v>288</v>
      </c>
    </row>
    <row r="658" spans="1:11" ht="18" customHeight="1">
      <c r="A658" s="42" t="s">
        <v>1297</v>
      </c>
      <c r="B658" s="36"/>
      <c r="C658" s="36"/>
      <c r="D658" s="36"/>
      <c r="E658" s="36"/>
      <c r="F658" s="47"/>
      <c r="K658" s="3" t="s">
        <v>1297</v>
      </c>
    </row>
    <row r="659" spans="1:11" ht="18" customHeight="1">
      <c r="A659" s="42" t="s">
        <v>1000</v>
      </c>
      <c r="B659" s="36"/>
      <c r="C659" s="36"/>
      <c r="D659" s="36"/>
      <c r="E659" s="36"/>
      <c r="F659" s="47"/>
      <c r="K659" s="3" t="s">
        <v>1000</v>
      </c>
    </row>
    <row r="660" spans="1:11" ht="18" customHeight="1">
      <c r="A660" s="42" t="s">
        <v>1297</v>
      </c>
      <c r="B660" s="36"/>
      <c r="C660" s="36"/>
      <c r="D660" s="36"/>
      <c r="E660" s="36"/>
      <c r="F660" s="47"/>
      <c r="K660" s="3" t="s">
        <v>1297</v>
      </c>
    </row>
    <row r="661" spans="1:11" ht="18" customHeight="1">
      <c r="A661" s="42" t="s">
        <v>1268</v>
      </c>
      <c r="B661" s="36"/>
      <c r="C661" s="36"/>
      <c r="D661" s="36"/>
      <c r="E661" s="36"/>
      <c r="F661" s="47"/>
      <c r="K661" s="3" t="s">
        <v>1268</v>
      </c>
    </row>
    <row r="662" spans="1:34" ht="18" customHeight="1">
      <c r="A662" s="42" t="s">
        <v>1297</v>
      </c>
      <c r="B662" s="36"/>
      <c r="C662" s="36"/>
      <c r="D662" s="36"/>
      <c r="E662" s="36"/>
      <c r="F662" s="47"/>
      <c r="K662" s="10" t="str">
        <f>SUBSTITUTE(SUBSTITUTE(".A=1.03 ,J=0.327","0.327",TEXT($AF662,"#,##0.000"),1),"_x001D_","'")</f>
        <v>.A=1.03 ,J=0.000</v>
      </c>
      <c r="AA662" s="40"/>
      <c r="AB662" s="6"/>
      <c r="AC662" s="40"/>
      <c r="AD662" s="7"/>
      <c r="AE662" s="40"/>
      <c r="AF662" s="6"/>
      <c r="AG662" s="40"/>
      <c r="AH662" s="7"/>
    </row>
    <row r="663" spans="1:42" ht="18" customHeight="1">
      <c r="A663" s="44" t="str">
        <f>CONCATENATE("     (",TEXT($AB663,"#,##0.00")," * _x001D_11,216_x001D_)*",TEXT($AF663,"#,##0.00")," =",TEXT($AJ663,"#,##0.00"))</f>
        <v>     (0.00 * _x001D_11,216_x001D_)*0.00 =0.00</v>
      </c>
      <c r="B663" s="36">
        <f>SUM($C663,$D663,$E663)</f>
        <v>0</v>
      </c>
      <c r="C663" s="36">
        <f>$AJ663</f>
        <v>0</v>
      </c>
      <c r="D663" s="36"/>
      <c r="E663" s="36"/>
      <c r="F663" s="47" t="s">
        <v>1297</v>
      </c>
      <c r="K663" s="3" t="s">
        <v>1134</v>
      </c>
      <c r="AA663" s="40"/>
      <c r="AB663" s="8"/>
      <c r="AC663" s="40"/>
      <c r="AD663" s="7"/>
      <c r="AE663" s="40"/>
      <c r="AF663" s="8"/>
      <c r="AG663" s="40"/>
      <c r="AH663" s="7"/>
      <c r="AI663" s="41"/>
      <c r="AJ663" s="8"/>
      <c r="AK663" s="41"/>
      <c r="AL663" s="7"/>
      <c r="AM663" s="40"/>
      <c r="AN663" s="8"/>
      <c r="AO663" s="40"/>
      <c r="AP663" s="7"/>
    </row>
    <row r="664" spans="1:11" ht="18" customHeight="1">
      <c r="A664" s="42" t="s">
        <v>1297</v>
      </c>
      <c r="B664" s="36"/>
      <c r="C664" s="36"/>
      <c r="D664" s="36"/>
      <c r="E664" s="36"/>
      <c r="F664" s="47"/>
      <c r="K664" s="3" t="s">
        <v>1297</v>
      </c>
    </row>
    <row r="665" spans="1:11" ht="18" customHeight="1">
      <c r="A665" s="42" t="s">
        <v>1290</v>
      </c>
      <c r="B665" s="36"/>
      <c r="C665" s="36"/>
      <c r="D665" s="36"/>
      <c r="E665" s="36"/>
      <c r="F665" s="47"/>
      <c r="K665" s="3" t="s">
        <v>1290</v>
      </c>
    </row>
    <row r="666" spans="1:30" ht="18" customHeight="1">
      <c r="A666" s="42" t="s">
        <v>1297</v>
      </c>
      <c r="B666" s="36"/>
      <c r="C666" s="36"/>
      <c r="D666" s="36"/>
      <c r="E666" s="36"/>
      <c r="F666" s="47"/>
      <c r="K666" s="3" t="s">
        <v>487</v>
      </c>
      <c r="AA666" s="40"/>
      <c r="AB666" s="6"/>
      <c r="AC666" s="40"/>
      <c r="AD666" s="7"/>
    </row>
    <row r="667" spans="1:42" ht="18" customHeight="1">
      <c r="A667" s="44" t="str">
        <f>CONCATENATE("     (",TEXT($AB667,"#,##0.00")," * _x001D_81,000_x001D_)*",TEXT($AF667,"#,##0.00")," =",TEXT($AJ667,"#,##0.00"))</f>
        <v>     (0.00 * _x001D_81,000_x001D_)*0.00 =0.00</v>
      </c>
      <c r="B667" s="36">
        <f>SUM($C667,$D667,$E667)</f>
        <v>0</v>
      </c>
      <c r="C667" s="36">
        <f>$AJ667</f>
        <v>0</v>
      </c>
      <c r="D667" s="36"/>
      <c r="E667" s="36"/>
      <c r="F667" s="47" t="s">
        <v>1297</v>
      </c>
      <c r="K667" s="3" t="s">
        <v>408</v>
      </c>
      <c r="AA667" s="40"/>
      <c r="AB667" s="8"/>
      <c r="AC667" s="40"/>
      <c r="AD667" s="7"/>
      <c r="AE667" s="40"/>
      <c r="AF667" s="8"/>
      <c r="AG667" s="40"/>
      <c r="AH667" s="7"/>
      <c r="AI667" s="41"/>
      <c r="AJ667" s="8"/>
      <c r="AK667" s="41"/>
      <c r="AL667" s="7"/>
      <c r="AM667" s="40"/>
      <c r="AN667" s="8"/>
      <c r="AO667" s="40"/>
      <c r="AP667" s="7"/>
    </row>
    <row r="668" spans="1:11" ht="18" customHeight="1">
      <c r="A668" s="42" t="s">
        <v>1297</v>
      </c>
      <c r="B668" s="36"/>
      <c r="C668" s="36"/>
      <c r="D668" s="36"/>
      <c r="E668" s="36"/>
      <c r="F668" s="47"/>
      <c r="K668" s="3" t="s">
        <v>1297</v>
      </c>
    </row>
    <row r="669" spans="1:11" ht="18" customHeight="1">
      <c r="A669" s="42" t="s">
        <v>326</v>
      </c>
      <c r="B669" s="36"/>
      <c r="C669" s="36"/>
      <c r="D669" s="36"/>
      <c r="E669" s="36"/>
      <c r="F669" s="47"/>
      <c r="K669" s="3" t="s">
        <v>326</v>
      </c>
    </row>
    <row r="670" spans="1:30" ht="18" customHeight="1">
      <c r="A670" s="42" t="s">
        <v>1297</v>
      </c>
      <c r="B670" s="36"/>
      <c r="C670" s="36"/>
      <c r="D670" s="36"/>
      <c r="E670" s="36"/>
      <c r="F670" s="47"/>
      <c r="K670" s="3" t="s">
        <v>1022</v>
      </c>
      <c r="AA670" s="40"/>
      <c r="AB670" s="6"/>
      <c r="AC670" s="40"/>
      <c r="AD670" s="7"/>
    </row>
    <row r="671" spans="1:42" ht="18" customHeight="1">
      <c r="A671" s="44" t="str">
        <f>CONCATENATE("     (",TEXT($AB671,"#,##0.00"),"+",TEXT($AF671,"#,##0.00"),") * ",TEXT($AJ671,"#,##0.00")," =",TEXT($AN671,"#,##0.00"))</f>
        <v>     (0.00+0.00) * 0.00 =0.00</v>
      </c>
      <c r="B671" s="36">
        <f>SUM($C671,$D671,$E671)</f>
        <v>0</v>
      </c>
      <c r="C671" s="36">
        <f>$AN671</f>
        <v>0</v>
      </c>
      <c r="D671" s="36"/>
      <c r="E671" s="36"/>
      <c r="F671" s="47"/>
      <c r="K671" s="3" t="s">
        <v>191</v>
      </c>
      <c r="AA671" s="40"/>
      <c r="AB671" s="8"/>
      <c r="AC671" s="40"/>
      <c r="AD671" s="7"/>
      <c r="AE671" s="40"/>
      <c r="AF671" s="8"/>
      <c r="AG671" s="40"/>
      <c r="AH671" s="7"/>
      <c r="AI671" s="40"/>
      <c r="AJ671" s="8"/>
      <c r="AK671" s="40"/>
      <c r="AL671" s="7"/>
      <c r="AM671" s="41"/>
      <c r="AN671" s="8"/>
      <c r="AO671" s="41"/>
      <c r="AP671" s="7"/>
    </row>
    <row r="672" spans="1:11" ht="18" customHeight="1">
      <c r="A672" s="42" t="s">
        <v>1297</v>
      </c>
      <c r="B672" s="36"/>
      <c r="C672" s="36"/>
      <c r="D672" s="36"/>
      <c r="E672" s="36"/>
      <c r="F672" s="47"/>
      <c r="K672" s="3" t="s">
        <v>1297</v>
      </c>
    </row>
    <row r="673" spans="1:28" ht="18" customHeight="1">
      <c r="A673" s="42" t="s">
        <v>183</v>
      </c>
      <c r="B673" s="37">
        <f>SUM($C673,$D673,$E673)</f>
        <v>0</v>
      </c>
      <c r="C673" s="37">
        <f>$AB673</f>
        <v>0</v>
      </c>
      <c r="D673" s="37">
        <f>$AD673</f>
        <v>0</v>
      </c>
      <c r="E673" s="37">
        <f>$AF673</f>
        <v>0</v>
      </c>
      <c r="F673" s="48"/>
      <c r="K673" s="3" t="s">
        <v>801</v>
      </c>
      <c r="AA673" s="40"/>
      <c r="AB673" s="7"/>
    </row>
    <row r="674" spans="1:11" ht="18" customHeight="1">
      <c r="A674" s="42" t="s">
        <v>1297</v>
      </c>
      <c r="B674" s="36"/>
      <c r="C674" s="36"/>
      <c r="D674" s="36"/>
      <c r="E674" s="36"/>
      <c r="F674" s="47"/>
      <c r="K674" s="3" t="s">
        <v>1297</v>
      </c>
    </row>
    <row r="675" spans="1:11" ht="18" customHeight="1">
      <c r="A675" s="42" t="s">
        <v>930</v>
      </c>
      <c r="B675" s="36"/>
      <c r="C675" s="36"/>
      <c r="D675" s="36"/>
      <c r="E675" s="36"/>
      <c r="F675" s="47"/>
      <c r="K675" s="3" t="s">
        <v>930</v>
      </c>
    </row>
    <row r="676" spans="1:11" ht="18" customHeight="1">
      <c r="A676" s="42" t="s">
        <v>1297</v>
      </c>
      <c r="B676" s="36"/>
      <c r="C676" s="36"/>
      <c r="D676" s="36"/>
      <c r="E676" s="36"/>
      <c r="F676" s="47"/>
      <c r="K676" s="3" t="s">
        <v>1297</v>
      </c>
    </row>
    <row r="677" spans="1:11" ht="18" customHeight="1">
      <c r="A677" s="42" t="s">
        <v>25</v>
      </c>
      <c r="B677" s="36"/>
      <c r="C677" s="36"/>
      <c r="D677" s="36"/>
      <c r="E677" s="36"/>
      <c r="F677" s="47"/>
      <c r="K677" s="3" t="s">
        <v>25</v>
      </c>
    </row>
    <row r="678" spans="1:11" ht="18" customHeight="1">
      <c r="A678" s="42" t="s">
        <v>1297</v>
      </c>
      <c r="B678" s="36"/>
      <c r="C678" s="36"/>
      <c r="D678" s="36"/>
      <c r="E678" s="36"/>
      <c r="F678" s="47"/>
      <c r="K678" s="3" t="s">
        <v>1297</v>
      </c>
    </row>
    <row r="679" spans="1:30" ht="18" customHeight="1">
      <c r="A679" s="44" t="str">
        <f>CONCATENATE("     0.10  인  * _x001D_242,138_x001D_ =",TEXT($AB679,"#,##0.00"))</f>
        <v>     0.10  인  * _x001D_242,138_x001D_ =0.00</v>
      </c>
      <c r="B679" s="36">
        <f>SUM($C679,$D679,$E679)</f>
        <v>0</v>
      </c>
      <c r="C679" s="36"/>
      <c r="D679" s="36">
        <f>$AB679</f>
        <v>0</v>
      </c>
      <c r="E679" s="36"/>
      <c r="F679" s="47" t="s">
        <v>1297</v>
      </c>
      <c r="K679" s="3" t="s">
        <v>273</v>
      </c>
      <c r="AA679" s="41"/>
      <c r="AB679" s="8"/>
      <c r="AC679" s="41"/>
      <c r="AD679" s="7"/>
    </row>
    <row r="680" spans="1:11" ht="18" customHeight="1">
      <c r="A680" s="42" t="s">
        <v>1297</v>
      </c>
      <c r="B680" s="36"/>
      <c r="C680" s="36"/>
      <c r="D680" s="36"/>
      <c r="E680" s="36"/>
      <c r="F680" s="47"/>
      <c r="K680" s="3" t="s">
        <v>1297</v>
      </c>
    </row>
    <row r="681" spans="1:11" ht="18" customHeight="1">
      <c r="A681" s="42" t="s">
        <v>820</v>
      </c>
      <c r="B681" s="36"/>
      <c r="C681" s="36"/>
      <c r="D681" s="36"/>
      <c r="E681" s="36"/>
      <c r="F681" s="47"/>
      <c r="K681" s="3" t="s">
        <v>820</v>
      </c>
    </row>
    <row r="682" spans="1:11" ht="18" customHeight="1">
      <c r="A682" s="42" t="s">
        <v>1297</v>
      </c>
      <c r="B682" s="36"/>
      <c r="C682" s="36"/>
      <c r="D682" s="36"/>
      <c r="E682" s="36"/>
      <c r="F682" s="47"/>
      <c r="K682" s="3" t="s">
        <v>1297</v>
      </c>
    </row>
    <row r="683" spans="1:30" ht="18" customHeight="1">
      <c r="A683" s="44" t="str">
        <f>CONCATENATE("     0.02  인  * _x001D_148,510_x001D_ =",TEXT($AB683,"#,##0.00"))</f>
        <v>     0.02  인  * _x001D_148,510_x001D_ =0.00</v>
      </c>
      <c r="B683" s="36">
        <f>SUM($C683,$D683,$E683)</f>
        <v>0</v>
      </c>
      <c r="C683" s="36"/>
      <c r="D683" s="36">
        <f>$AB683</f>
        <v>0</v>
      </c>
      <c r="E683" s="36"/>
      <c r="F683" s="47" t="s">
        <v>1297</v>
      </c>
      <c r="K683" s="3" t="s">
        <v>677</v>
      </c>
      <c r="AA683" s="41"/>
      <c r="AB683" s="8"/>
      <c r="AC683" s="41"/>
      <c r="AD683" s="7"/>
    </row>
    <row r="684" spans="1:11" ht="18" customHeight="1">
      <c r="A684" s="42" t="s">
        <v>1297</v>
      </c>
      <c r="B684" s="36"/>
      <c r="C684" s="36"/>
      <c r="D684" s="36"/>
      <c r="E684" s="36"/>
      <c r="F684" s="47"/>
      <c r="K684" s="3" t="s">
        <v>1297</v>
      </c>
    </row>
    <row r="685" spans="1:30" ht="18" customHeight="1">
      <c r="A685" s="42" t="s">
        <v>183</v>
      </c>
      <c r="B685" s="37">
        <f>SUM($C685,$D685,$E685)</f>
        <v>0</v>
      </c>
      <c r="C685" s="37">
        <f>$AB685</f>
        <v>0</v>
      </c>
      <c r="D685" s="37">
        <f>$AD685</f>
        <v>0</v>
      </c>
      <c r="E685" s="37">
        <f>$AF685</f>
        <v>0</v>
      </c>
      <c r="F685" s="48"/>
      <c r="K685" s="3" t="s">
        <v>801</v>
      </c>
      <c r="AA685" s="40"/>
      <c r="AB685" s="7"/>
      <c r="AC685" s="40"/>
      <c r="AD685" s="7"/>
    </row>
    <row r="686" spans="1:11" ht="18" customHeight="1">
      <c r="A686" s="42" t="s">
        <v>1297</v>
      </c>
      <c r="B686" s="36"/>
      <c r="C686" s="36"/>
      <c r="D686" s="36"/>
      <c r="E686" s="36"/>
      <c r="F686" s="47"/>
      <c r="K686" s="3" t="s">
        <v>1297</v>
      </c>
    </row>
    <row r="687" spans="1:11" ht="18" customHeight="1">
      <c r="A687" s="42" t="s">
        <v>513</v>
      </c>
      <c r="B687" s="36"/>
      <c r="C687" s="36"/>
      <c r="D687" s="36"/>
      <c r="E687" s="36"/>
      <c r="F687" s="47"/>
      <c r="K687" s="3" t="s">
        <v>513</v>
      </c>
    </row>
    <row r="688" spans="1:11" ht="18" customHeight="1">
      <c r="A688" s="42" t="s">
        <v>1297</v>
      </c>
      <c r="B688" s="36"/>
      <c r="C688" s="36"/>
      <c r="D688" s="36"/>
      <c r="E688" s="36"/>
      <c r="F688" s="47"/>
      <c r="K688" s="3" t="s">
        <v>1297</v>
      </c>
    </row>
    <row r="689" spans="1:30" ht="18" customHeight="1">
      <c r="A689" s="44" t="str">
        <f>CONCATENATE("   _x001D_27,183_x001D_ * 0.01 =",TEXT($AB689,"#,##0.00"))</f>
        <v>   _x001D_27,183_x001D_ * 0.01 =0.00</v>
      </c>
      <c r="B689" s="36">
        <f>SUM($C689,$D689,$E689)</f>
        <v>0</v>
      </c>
      <c r="C689" s="36">
        <f>$AB689</f>
        <v>0</v>
      </c>
      <c r="D689" s="36"/>
      <c r="E689" s="36"/>
      <c r="F689" s="47" t="s">
        <v>1297</v>
      </c>
      <c r="K689" s="3" t="s">
        <v>1112</v>
      </c>
      <c r="AA689" s="41"/>
      <c r="AB689" s="8"/>
      <c r="AC689" s="41"/>
      <c r="AD689" s="7"/>
    </row>
    <row r="690" spans="1:11" ht="18" customHeight="1">
      <c r="A690" s="42" t="s">
        <v>1297</v>
      </c>
      <c r="B690" s="36"/>
      <c r="C690" s="36"/>
      <c r="D690" s="36"/>
      <c r="E690" s="36"/>
      <c r="F690" s="47"/>
      <c r="K690" s="3" t="s">
        <v>1297</v>
      </c>
    </row>
    <row r="691" spans="1:30" ht="18" customHeight="1">
      <c r="A691" s="42" t="s">
        <v>183</v>
      </c>
      <c r="B691" s="37">
        <f>SUM($C691,$D691,$E691)</f>
        <v>0</v>
      </c>
      <c r="C691" s="37">
        <f>$AB691</f>
        <v>0</v>
      </c>
      <c r="D691" s="37">
        <f>$AD691</f>
        <v>0</v>
      </c>
      <c r="E691" s="37">
        <f>$AF691</f>
        <v>0</v>
      </c>
      <c r="F691" s="48"/>
      <c r="K691" s="3" t="s">
        <v>801</v>
      </c>
      <c r="AA691" s="40"/>
      <c r="AB691" s="7"/>
      <c r="AC691" s="40"/>
      <c r="AD691" s="7"/>
    </row>
    <row r="692" spans="1:11" ht="18" customHeight="1">
      <c r="A692" s="42" t="s">
        <v>1297</v>
      </c>
      <c r="B692" s="36"/>
      <c r="C692" s="36"/>
      <c r="D692" s="36"/>
      <c r="E692" s="36"/>
      <c r="F692" s="47"/>
      <c r="K692" s="3" t="s">
        <v>1297</v>
      </c>
    </row>
    <row r="693" spans="1:30" ht="18" customHeight="1">
      <c r="A693" s="42" t="s">
        <v>1247</v>
      </c>
      <c r="B693" s="38">
        <f>SUM($C693,$D693,$E693)</f>
        <v>0</v>
      </c>
      <c r="C693" s="38">
        <f>$AB693</f>
        <v>0</v>
      </c>
      <c r="D693" s="38">
        <f>$AD693</f>
        <v>0</v>
      </c>
      <c r="E693" s="38">
        <f>$AF693</f>
        <v>0</v>
      </c>
      <c r="F693" s="49"/>
      <c r="K693" s="3" t="s">
        <v>358</v>
      </c>
      <c r="AA693" s="40"/>
      <c r="AB693" s="7"/>
      <c r="AC693" s="40"/>
      <c r="AD693" s="7"/>
    </row>
    <row r="694" spans="1:6" ht="18" customHeight="1">
      <c r="A694" s="42"/>
      <c r="B694" s="3"/>
      <c r="C694" s="3"/>
      <c r="D694" s="3"/>
      <c r="E694" s="3"/>
      <c r="F694" s="46"/>
    </row>
    <row r="695" spans="1:6" ht="18" customHeight="1">
      <c r="A695" s="45" t="s">
        <v>726</v>
      </c>
      <c r="B695" s="39">
        <f>SUM($C695,$D695,$E695)</f>
        <v>0</v>
      </c>
      <c r="C695" s="39">
        <f>TRUNC(SUM($AD689),0)</f>
        <v>0</v>
      </c>
      <c r="D695" s="39">
        <f>TRUNC(SUM($AD683),0)</f>
        <v>0</v>
      </c>
      <c r="E695" s="39">
        <v>0</v>
      </c>
      <c r="F695" s="50"/>
    </row>
  </sheetData>
  <sheetProtection/>
  <mergeCells count="2">
    <mergeCell ref="AA3:AG3"/>
    <mergeCell ref="AA4:AG4"/>
  </mergeCells>
  <printOptions/>
  <pageMargins left="0.31496062992125984" right="0.31496062992125984" top="1" bottom="0.5905511811023622" header="0.5" footer="0.5"/>
  <pageSetup horizontalDpi="600" verticalDpi="600" orientation="portrait" paperSize="9"/>
  <headerFooter alignWithMargins="0">
    <oddHeader>&amp;RPage : &amp;P/&amp;N</oddHeader>
  </headerFooter>
  <rowBreaks count="14" manualBreakCount="14">
    <brk id="56" min="1" max="256" man="1"/>
    <brk id="120" min="1" max="256" man="1"/>
    <brk id="155" min="1" max="256" man="1"/>
    <brk id="213" min="1" max="256" man="1"/>
    <brk id="271" min="1" max="256" man="1"/>
    <brk id="337" min="1" max="256" man="1"/>
    <brk id="360" min="1" max="256" man="1"/>
    <brk id="462" min="1" max="256" man="1"/>
    <brk id="485" min="1" max="256" man="1"/>
    <brk id="572" min="1" max="256" man="1"/>
    <brk id="591" min="1" max="256" man="1"/>
    <brk id="624" min="1" max="256" man="1"/>
    <brk id="652" min="1" max="256" man="1"/>
    <brk id="695" min="1" max="25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B2" sqref="B2"/>
    </sheetView>
  </sheetViews>
  <sheetFormatPr defaultColWidth="9.33203125" defaultRowHeight="18" customHeight="1"/>
  <cols>
    <col min="1" max="1" width="25" style="0" customWidth="1"/>
    <col min="2" max="2" width="18" style="0" customWidth="1"/>
    <col min="3" max="3" width="8" style="0" customWidth="1"/>
    <col min="4" max="4" width="5" style="0" customWidth="1"/>
    <col min="5" max="8" width="13" style="0" customWidth="1"/>
    <col min="9" max="9" width="10" style="0" customWidth="1"/>
    <col min="10" max="13" width="0" style="0" hidden="1" customWidth="1"/>
  </cols>
  <sheetData>
    <row r="1" ht="18" customHeight="1">
      <c r="A1" t="s">
        <v>996</v>
      </c>
    </row>
    <row r="2" spans="1:9" ht="18" customHeight="1">
      <c r="A2" s="16" t="s">
        <v>216</v>
      </c>
      <c r="B2" s="17" t="s">
        <v>473</v>
      </c>
      <c r="C2" s="17" t="s">
        <v>42</v>
      </c>
      <c r="D2" s="17" t="s">
        <v>1219</v>
      </c>
      <c r="E2" s="17" t="s">
        <v>884</v>
      </c>
      <c r="F2" s="17" t="s">
        <v>506</v>
      </c>
      <c r="G2" s="17" t="s">
        <v>93</v>
      </c>
      <c r="H2" s="17" t="s">
        <v>1261</v>
      </c>
      <c r="I2" s="19" t="s">
        <v>321</v>
      </c>
    </row>
    <row r="3" spans="1:15" ht="18" customHeight="1">
      <c r="A3" s="11" t="s">
        <v>387</v>
      </c>
      <c r="B3" s="2" t="s">
        <v>4</v>
      </c>
      <c r="C3" s="2">
        <v>1</v>
      </c>
      <c r="D3" s="2" t="s">
        <v>323</v>
      </c>
      <c r="E3" s="28">
        <f>중기사용료!G10</f>
        <v>0</v>
      </c>
      <c r="F3" s="29">
        <f>중기사용료!G12</f>
        <v>0</v>
      </c>
      <c r="G3" s="29">
        <f>중기사용료!G7</f>
        <v>0</v>
      </c>
      <c r="H3" s="28">
        <f aca="true" t="shared" si="0" ref="H3:H22">E3+F3+G3</f>
        <v>0</v>
      </c>
      <c r="I3" s="20" t="s">
        <v>1297</v>
      </c>
      <c r="K3" t="s">
        <v>204</v>
      </c>
      <c r="O3" s="34" t="str">
        <f>HYPERLINK("#중기사용료!A3","E0002010020 →")</f>
        <v>E0002010020 →</v>
      </c>
    </row>
    <row r="4" spans="1:15" ht="18" customHeight="1">
      <c r="A4" s="11" t="s">
        <v>516</v>
      </c>
      <c r="B4" s="2" t="s">
        <v>4</v>
      </c>
      <c r="C4" s="2">
        <v>1</v>
      </c>
      <c r="D4" s="2" t="s">
        <v>323</v>
      </c>
      <c r="E4" s="28">
        <f>중기사용료!G23</f>
        <v>0</v>
      </c>
      <c r="F4" s="29">
        <f>중기사용료!G25</f>
        <v>0</v>
      </c>
      <c r="G4" s="29">
        <f>중기사용료!G20</f>
        <v>0</v>
      </c>
      <c r="H4" s="28">
        <f t="shared" si="0"/>
        <v>0</v>
      </c>
      <c r="I4" s="20" t="s">
        <v>1297</v>
      </c>
      <c r="K4" t="s">
        <v>897</v>
      </c>
      <c r="O4" s="34" t="str">
        <f>HYPERLINK("#중기사용료!A15","E0002010021 →")</f>
        <v>E0002010021 →</v>
      </c>
    </row>
    <row r="5" spans="1:15" ht="18" customHeight="1">
      <c r="A5" s="11" t="s">
        <v>379</v>
      </c>
      <c r="B5" s="2" t="s">
        <v>410</v>
      </c>
      <c r="C5" s="2">
        <v>1</v>
      </c>
      <c r="D5" s="2" t="s">
        <v>323</v>
      </c>
      <c r="E5" s="28">
        <f>중기사용료!G35</f>
        <v>0</v>
      </c>
      <c r="F5" s="29">
        <f>중기사용료!G37</f>
        <v>0</v>
      </c>
      <c r="G5" s="29">
        <f>중기사용료!G32</f>
        <v>0</v>
      </c>
      <c r="H5" s="28">
        <f t="shared" si="0"/>
        <v>0</v>
      </c>
      <c r="I5" s="20" t="s">
        <v>1297</v>
      </c>
      <c r="K5" t="s">
        <v>559</v>
      </c>
      <c r="O5" s="34" t="str">
        <f>HYPERLINK("#중기사용료!A28","E0002110018 →")</f>
        <v>E0002110018 →</v>
      </c>
    </row>
    <row r="6" spans="1:15" ht="18" customHeight="1">
      <c r="A6" s="11" t="s">
        <v>367</v>
      </c>
      <c r="B6" s="2" t="s">
        <v>1143</v>
      </c>
      <c r="C6" s="2">
        <v>1</v>
      </c>
      <c r="D6" s="2" t="s">
        <v>323</v>
      </c>
      <c r="E6" s="28">
        <v>0</v>
      </c>
      <c r="F6" s="29">
        <v>0</v>
      </c>
      <c r="G6" s="29">
        <f>중기사용료!G44</f>
        <v>0</v>
      </c>
      <c r="H6" s="28">
        <f t="shared" si="0"/>
        <v>0</v>
      </c>
      <c r="I6" s="20" t="s">
        <v>1297</v>
      </c>
      <c r="K6" t="s">
        <v>748</v>
      </c>
      <c r="O6" s="34" t="str">
        <f>HYPERLINK("#중기사용료!A40","E0002300002 →")</f>
        <v>E0002300002 →</v>
      </c>
    </row>
    <row r="7" spans="1:15" ht="18" customHeight="1">
      <c r="A7" s="11" t="s">
        <v>831</v>
      </c>
      <c r="B7" s="2" t="s">
        <v>972</v>
      </c>
      <c r="C7" s="2">
        <v>1</v>
      </c>
      <c r="D7" s="2" t="s">
        <v>323</v>
      </c>
      <c r="E7" s="28">
        <f>중기사용료!G58</f>
        <v>0</v>
      </c>
      <c r="F7" s="29">
        <f>중기사용료!G60</f>
        <v>0</v>
      </c>
      <c r="G7" s="29">
        <f>중기사용료!G55</f>
        <v>0</v>
      </c>
      <c r="H7" s="28">
        <f t="shared" si="0"/>
        <v>0</v>
      </c>
      <c r="I7" s="20" t="s">
        <v>1297</v>
      </c>
      <c r="K7" t="s">
        <v>203</v>
      </c>
      <c r="O7" s="34" t="str">
        <f>HYPERLINK("#중기사용료!A51","E0003020057 →")</f>
        <v>E0003020057 →</v>
      </c>
    </row>
    <row r="8" spans="1:15" ht="18" customHeight="1">
      <c r="A8" s="11" t="s">
        <v>554</v>
      </c>
      <c r="B8" s="2" t="s">
        <v>511</v>
      </c>
      <c r="C8" s="2">
        <v>1</v>
      </c>
      <c r="D8" s="2" t="s">
        <v>323</v>
      </c>
      <c r="E8" s="28">
        <f>중기사용료!G70</f>
        <v>0</v>
      </c>
      <c r="F8" s="29">
        <f>중기사용료!G72</f>
        <v>0</v>
      </c>
      <c r="G8" s="29">
        <f>중기사용료!G67</f>
        <v>0</v>
      </c>
      <c r="H8" s="28">
        <f t="shared" si="0"/>
        <v>0</v>
      </c>
      <c r="I8" s="20" t="s">
        <v>1297</v>
      </c>
      <c r="K8" t="s">
        <v>523</v>
      </c>
      <c r="O8" s="34" t="str">
        <f>HYPERLINK("#중기사용료!A63","E0006020025 →")</f>
        <v>E0006020025 →</v>
      </c>
    </row>
    <row r="9" spans="1:15" ht="18" customHeight="1">
      <c r="A9" s="11" t="s">
        <v>554</v>
      </c>
      <c r="B9" s="2" t="s">
        <v>178</v>
      </c>
      <c r="C9" s="2">
        <v>1</v>
      </c>
      <c r="D9" s="2" t="s">
        <v>323</v>
      </c>
      <c r="E9" s="28">
        <f>중기사용료!G82</f>
        <v>0</v>
      </c>
      <c r="F9" s="29">
        <f>중기사용료!G84</f>
        <v>0</v>
      </c>
      <c r="G9" s="29">
        <f>중기사용료!G79</f>
        <v>0</v>
      </c>
      <c r="H9" s="28">
        <f t="shared" si="0"/>
        <v>0</v>
      </c>
      <c r="I9" s="20" t="s">
        <v>1297</v>
      </c>
      <c r="K9" t="s">
        <v>1228</v>
      </c>
      <c r="O9" s="34" t="str">
        <f>HYPERLINK("#중기사용료!A75","E0006020045 →")</f>
        <v>E0006020045 →</v>
      </c>
    </row>
    <row r="10" spans="1:15" ht="18" customHeight="1">
      <c r="A10" s="11" t="s">
        <v>554</v>
      </c>
      <c r="B10" s="2" t="s">
        <v>876</v>
      </c>
      <c r="C10" s="2">
        <v>1</v>
      </c>
      <c r="D10" s="2" t="s">
        <v>323</v>
      </c>
      <c r="E10" s="28">
        <f>중기사용료!G94</f>
        <v>0</v>
      </c>
      <c r="F10" s="29">
        <f>중기사용료!G96</f>
        <v>0</v>
      </c>
      <c r="G10" s="29">
        <f>중기사용료!G91</f>
        <v>0</v>
      </c>
      <c r="H10" s="28">
        <f t="shared" si="0"/>
        <v>0</v>
      </c>
      <c r="I10" s="20" t="s">
        <v>1297</v>
      </c>
      <c r="K10" t="s">
        <v>114</v>
      </c>
      <c r="O10" s="34" t="str">
        <f>HYPERLINK("#중기사용료!A87","E0006020150 →")</f>
        <v>E0006020150 →</v>
      </c>
    </row>
    <row r="11" spans="1:15" ht="18" customHeight="1">
      <c r="A11" s="11" t="s">
        <v>696</v>
      </c>
      <c r="B11" s="2" t="s">
        <v>404</v>
      </c>
      <c r="C11" s="2">
        <v>1</v>
      </c>
      <c r="D11" s="2" t="s">
        <v>323</v>
      </c>
      <c r="E11" s="28">
        <f>중기사용료!G106</f>
        <v>0</v>
      </c>
      <c r="F11" s="29">
        <f>중기사용료!G108</f>
        <v>0</v>
      </c>
      <c r="G11" s="29">
        <f>중기사용료!G103</f>
        <v>0</v>
      </c>
      <c r="H11" s="28">
        <f t="shared" si="0"/>
        <v>0</v>
      </c>
      <c r="I11" s="20" t="s">
        <v>1297</v>
      </c>
      <c r="K11" t="s">
        <v>1220</v>
      </c>
      <c r="O11" s="34" t="str">
        <f>HYPERLINK("#중기사용료!A99","E0013050007 →")</f>
        <v>E0013050007 →</v>
      </c>
    </row>
    <row r="12" spans="1:15" ht="18" customHeight="1">
      <c r="A12" s="11" t="s">
        <v>1214</v>
      </c>
      <c r="B12" s="2" t="s">
        <v>336</v>
      </c>
      <c r="C12" s="2">
        <v>1</v>
      </c>
      <c r="D12" s="2" t="s">
        <v>323</v>
      </c>
      <c r="E12" s="28">
        <f>중기사용료!G118</f>
        <v>0</v>
      </c>
      <c r="F12" s="29">
        <f>중기사용료!G120</f>
        <v>0</v>
      </c>
      <c r="G12" s="29">
        <f>중기사용료!G115</f>
        <v>0</v>
      </c>
      <c r="H12" s="28">
        <f t="shared" si="0"/>
        <v>0</v>
      </c>
      <c r="I12" s="20" t="s">
        <v>1297</v>
      </c>
      <c r="K12" t="s">
        <v>719</v>
      </c>
      <c r="O12" s="34" t="str">
        <f>HYPERLINK("#중기사용료!A111","E0013060025 →")</f>
        <v>E0013060025 →</v>
      </c>
    </row>
    <row r="13" spans="1:15" ht="18" customHeight="1">
      <c r="A13" s="11" t="s">
        <v>414</v>
      </c>
      <c r="B13" s="2" t="s">
        <v>128</v>
      </c>
      <c r="C13" s="2">
        <v>1</v>
      </c>
      <c r="D13" s="2" t="s">
        <v>323</v>
      </c>
      <c r="E13" s="28">
        <f>중기사용료!G130</f>
        <v>0</v>
      </c>
      <c r="F13" s="29">
        <f>중기사용료!G132</f>
        <v>0</v>
      </c>
      <c r="G13" s="29">
        <f>중기사용료!G127</f>
        <v>0</v>
      </c>
      <c r="H13" s="28">
        <f t="shared" si="0"/>
        <v>0</v>
      </c>
      <c r="I13" s="20" t="s">
        <v>1297</v>
      </c>
      <c r="K13" t="s">
        <v>301</v>
      </c>
      <c r="O13" s="34" t="str">
        <f>HYPERLINK("#중기사용료!A123","E0016300080 →")</f>
        <v>E0016300080 →</v>
      </c>
    </row>
    <row r="14" spans="1:15" ht="18" customHeight="1">
      <c r="A14" s="11" t="s">
        <v>587</v>
      </c>
      <c r="B14" s="2" t="s">
        <v>1088</v>
      </c>
      <c r="C14" s="2">
        <v>1</v>
      </c>
      <c r="D14" s="2" t="s">
        <v>323</v>
      </c>
      <c r="E14" s="28">
        <f>중기사용료!G142</f>
        <v>0</v>
      </c>
      <c r="F14" s="29">
        <f>중기사용료!G144</f>
        <v>0</v>
      </c>
      <c r="G14" s="29">
        <f>중기사용료!G139</f>
        <v>0</v>
      </c>
      <c r="H14" s="28">
        <f t="shared" si="0"/>
        <v>0</v>
      </c>
      <c r="I14" s="20" t="s">
        <v>1297</v>
      </c>
      <c r="K14" t="s">
        <v>386</v>
      </c>
      <c r="O14" s="34" t="str">
        <f>HYPERLINK("#중기사용료!A135","E0017300015 →")</f>
        <v>E0017300015 →</v>
      </c>
    </row>
    <row r="15" spans="1:15" ht="18" customHeight="1">
      <c r="A15" s="11" t="s">
        <v>436</v>
      </c>
      <c r="B15" s="2" t="s">
        <v>149</v>
      </c>
      <c r="C15" s="2">
        <v>1</v>
      </c>
      <c r="D15" s="2" t="s">
        <v>323</v>
      </c>
      <c r="E15" s="28">
        <f>중기사용료!G154</f>
        <v>0</v>
      </c>
      <c r="F15" s="29">
        <f>중기사용료!G156</f>
        <v>0</v>
      </c>
      <c r="G15" s="29">
        <f>중기사용료!G151</f>
        <v>0</v>
      </c>
      <c r="H15" s="28">
        <f t="shared" si="0"/>
        <v>0</v>
      </c>
      <c r="I15" s="20" t="s">
        <v>1297</v>
      </c>
      <c r="K15" t="s">
        <v>46</v>
      </c>
      <c r="O15" s="34" t="str">
        <f>HYPERLINK("#중기사용료!A147","E0021050005 →")</f>
        <v>E0021050005 →</v>
      </c>
    </row>
    <row r="16" spans="1:15" ht="18" customHeight="1">
      <c r="A16" s="11" t="s">
        <v>436</v>
      </c>
      <c r="B16" s="2" t="s">
        <v>1116</v>
      </c>
      <c r="C16" s="2">
        <v>1</v>
      </c>
      <c r="D16" s="2" t="s">
        <v>323</v>
      </c>
      <c r="E16" s="28">
        <f>중기사용료!G166</f>
        <v>0</v>
      </c>
      <c r="F16" s="29">
        <f>중기사용료!G168</f>
        <v>0</v>
      </c>
      <c r="G16" s="29">
        <f>중기사용료!G163</f>
        <v>0</v>
      </c>
      <c r="H16" s="28">
        <f t="shared" si="0"/>
        <v>0</v>
      </c>
      <c r="I16" s="20" t="s">
        <v>1297</v>
      </c>
      <c r="K16" t="s">
        <v>982</v>
      </c>
      <c r="O16" s="34" t="str">
        <f>HYPERLINK("#중기사용료!A159","E0021050010 →")</f>
        <v>E0021050010 →</v>
      </c>
    </row>
    <row r="17" spans="1:15" ht="18" customHeight="1">
      <c r="A17" s="11" t="s">
        <v>861</v>
      </c>
      <c r="B17" s="2" t="s">
        <v>149</v>
      </c>
      <c r="C17" s="2">
        <v>1</v>
      </c>
      <c r="D17" s="2" t="s">
        <v>323</v>
      </c>
      <c r="E17" s="28">
        <f>중기사용료!G178</f>
        <v>0</v>
      </c>
      <c r="F17" s="29">
        <f>중기사용료!G180</f>
        <v>0</v>
      </c>
      <c r="G17" s="29">
        <f>중기사용료!G175</f>
        <v>0</v>
      </c>
      <c r="H17" s="28">
        <f t="shared" si="0"/>
        <v>0</v>
      </c>
      <c r="I17" s="20" t="s">
        <v>1297</v>
      </c>
      <c r="K17" t="s">
        <v>956</v>
      </c>
      <c r="O17" s="34" t="str">
        <f>HYPERLINK("#중기사용료!A171","E0025020050 →")</f>
        <v>E0025020050 →</v>
      </c>
    </row>
    <row r="18" spans="1:15" ht="18" customHeight="1">
      <c r="A18" s="11" t="s">
        <v>1041</v>
      </c>
      <c r="B18" s="2" t="s">
        <v>571</v>
      </c>
      <c r="C18" s="2">
        <v>1</v>
      </c>
      <c r="D18" s="2" t="s">
        <v>323</v>
      </c>
      <c r="E18" s="28">
        <f>중기사용료!G190</f>
        <v>0</v>
      </c>
      <c r="F18" s="29">
        <f>중기사용료!G192</f>
        <v>0</v>
      </c>
      <c r="G18" s="29">
        <f>중기사용료!G187</f>
        <v>0</v>
      </c>
      <c r="H18" s="28">
        <f t="shared" si="0"/>
        <v>0</v>
      </c>
      <c r="I18" s="20" t="s">
        <v>1297</v>
      </c>
      <c r="K18" t="s">
        <v>251</v>
      </c>
      <c r="O18" s="34" t="str">
        <f>HYPERLINK("#중기사용료!A183","E0027020020 →")</f>
        <v>E0027020020 →</v>
      </c>
    </row>
    <row r="19" spans="1:15" ht="18" customHeight="1">
      <c r="A19" s="11" t="s">
        <v>668</v>
      </c>
      <c r="B19" s="2" t="s">
        <v>687</v>
      </c>
      <c r="C19" s="2">
        <v>1</v>
      </c>
      <c r="D19" s="2" t="s">
        <v>323</v>
      </c>
      <c r="E19" s="28">
        <f>중기사용료!G202</f>
        <v>0</v>
      </c>
      <c r="F19" s="29">
        <f>중기사용료!G204</f>
        <v>0</v>
      </c>
      <c r="G19" s="29">
        <f>중기사용료!G199</f>
        <v>0</v>
      </c>
      <c r="H19" s="28">
        <f t="shared" si="0"/>
        <v>0</v>
      </c>
      <c r="I19" s="20" t="s">
        <v>1297</v>
      </c>
      <c r="K19" t="s">
        <v>934</v>
      </c>
      <c r="O19" s="34" t="str">
        <f>HYPERLINK("#중기사용료!A195","E0034300400 →")</f>
        <v>E0034300400 →</v>
      </c>
    </row>
    <row r="20" spans="1:15" ht="18" customHeight="1">
      <c r="A20" s="11" t="s">
        <v>567</v>
      </c>
      <c r="B20" s="2" t="s">
        <v>1125</v>
      </c>
      <c r="C20" s="2">
        <v>1</v>
      </c>
      <c r="D20" s="2" t="s">
        <v>323</v>
      </c>
      <c r="E20" s="28">
        <f>중기사용료!G214</f>
        <v>0</v>
      </c>
      <c r="F20" s="29">
        <f>중기사용료!G216</f>
        <v>0</v>
      </c>
      <c r="G20" s="29">
        <f>중기사용료!G211</f>
        <v>0</v>
      </c>
      <c r="H20" s="28">
        <f t="shared" si="0"/>
        <v>0</v>
      </c>
      <c r="I20" s="20" t="s">
        <v>1297</v>
      </c>
      <c r="K20" t="s">
        <v>837</v>
      </c>
      <c r="O20" s="34" t="str">
        <f>HYPERLINK("#중기사용료!A207","E0044300400 →")</f>
        <v>E0044300400 →</v>
      </c>
    </row>
    <row r="21" spans="1:15" ht="18" customHeight="1">
      <c r="A21" s="11" t="s">
        <v>256</v>
      </c>
      <c r="B21" s="2" t="s">
        <v>788</v>
      </c>
      <c r="C21" s="2">
        <v>1</v>
      </c>
      <c r="D21" s="2" t="s">
        <v>323</v>
      </c>
      <c r="E21" s="28">
        <f>중기사용료!G226</f>
        <v>0</v>
      </c>
      <c r="F21" s="29">
        <f>중기사용료!G228</f>
        <v>0</v>
      </c>
      <c r="G21" s="29">
        <f>중기사용료!G223</f>
        <v>0</v>
      </c>
      <c r="H21" s="28">
        <f t="shared" si="0"/>
        <v>0</v>
      </c>
      <c r="I21" s="20" t="s">
        <v>1297</v>
      </c>
      <c r="K21" t="s">
        <v>29</v>
      </c>
      <c r="O21" s="34" t="str">
        <f>HYPERLINK("#중기사용료!A219","E0072040055 →")</f>
        <v>E0072040055 →</v>
      </c>
    </row>
    <row r="22" spans="1:15" ht="18" customHeight="1">
      <c r="A22" s="13" t="s">
        <v>1084</v>
      </c>
      <c r="B22" s="14" t="s">
        <v>1164</v>
      </c>
      <c r="C22" s="14">
        <v>1</v>
      </c>
      <c r="D22" s="14" t="s">
        <v>323</v>
      </c>
      <c r="E22" s="30">
        <f>중기사용료!G238</f>
        <v>0</v>
      </c>
      <c r="F22" s="31">
        <v>0</v>
      </c>
      <c r="G22" s="31">
        <f>중기사용료!G235</f>
        <v>0</v>
      </c>
      <c r="H22" s="30">
        <f t="shared" si="0"/>
        <v>0</v>
      </c>
      <c r="I22" s="21" t="s">
        <v>1297</v>
      </c>
      <c r="K22" t="s">
        <v>1231</v>
      </c>
      <c r="O22" s="34" t="str">
        <f>HYPERLINK("#중기사용료!A231","E0072100485 →")</f>
        <v>E0072100485 →</v>
      </c>
    </row>
  </sheetData>
  <sheetProtection/>
  <printOptions/>
  <pageMargins left="0.31496062992125984" right="0.31496062992125984" top="1" bottom="0.5905511811023622" header="0.5" footer="0.5"/>
  <pageSetup horizontalDpi="600" verticalDpi="600" orientation="portrait" paperSize="9"/>
  <headerFooter alignWithMargins="0">
    <oddHeader>&amp;RPage : 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242"/>
  <sheetViews>
    <sheetView zoomScalePageLayoutView="0" workbookViewId="0" topLeftCell="A1">
      <selection activeCell="F6" sqref="F6"/>
    </sheetView>
  </sheetViews>
  <sheetFormatPr defaultColWidth="9.33203125" defaultRowHeight="18" customHeight="1"/>
  <cols>
    <col min="1" max="1" width="10" style="0" customWidth="1"/>
    <col min="2" max="2" width="25" style="0" customWidth="1"/>
    <col min="3" max="3" width="20" style="0" customWidth="1"/>
    <col min="4" max="4" width="8" style="0" customWidth="1"/>
    <col min="5" max="5" width="6" style="0" customWidth="1"/>
    <col min="6" max="7" width="13" style="0" customWidth="1"/>
    <col min="8" max="8" width="10" style="0" customWidth="1"/>
    <col min="9" max="31" width="0" style="0" hidden="1" customWidth="1"/>
  </cols>
  <sheetData>
    <row r="1" ht="18" customHeight="1">
      <c r="A1" t="s">
        <v>1020</v>
      </c>
    </row>
    <row r="3" spans="1:10" ht="18" customHeight="1">
      <c r="A3" s="4" t="s">
        <v>1149</v>
      </c>
      <c r="B3" s="4" t="s">
        <v>1049</v>
      </c>
      <c r="C3" s="4"/>
      <c r="D3" s="4"/>
      <c r="E3" s="4"/>
      <c r="F3" s="4"/>
      <c r="G3" s="4"/>
      <c r="H3" s="4"/>
      <c r="I3" s="9" t="s">
        <v>1297</v>
      </c>
      <c r="J3" s="9" t="s">
        <v>204</v>
      </c>
    </row>
    <row r="4" spans="1:8" ht="18" customHeight="1">
      <c r="A4" s="4" t="s">
        <v>338</v>
      </c>
      <c r="B4" s="4" t="s">
        <v>880</v>
      </c>
      <c r="C4" s="4"/>
      <c r="D4" s="4"/>
      <c r="E4" s="4"/>
      <c r="F4" s="4"/>
      <c r="G4" s="4"/>
      <c r="H4" s="4"/>
    </row>
    <row r="5" spans="1:8" ht="18" customHeight="1">
      <c r="A5" s="32" t="s">
        <v>976</v>
      </c>
      <c r="B5" s="32"/>
      <c r="C5" s="32" t="s">
        <v>621</v>
      </c>
      <c r="D5" s="32" t="s">
        <v>42</v>
      </c>
      <c r="E5" s="32" t="s">
        <v>1219</v>
      </c>
      <c r="F5" s="32" t="s">
        <v>292</v>
      </c>
      <c r="G5" s="32" t="s">
        <v>185</v>
      </c>
      <c r="H5" s="32" t="s">
        <v>321</v>
      </c>
    </row>
    <row r="6" spans="1:33" ht="18" customHeight="1">
      <c r="A6" s="9" t="s">
        <v>93</v>
      </c>
      <c r="B6" s="9" t="s">
        <v>387</v>
      </c>
      <c r="C6" s="9" t="s">
        <v>4</v>
      </c>
      <c r="D6" s="9">
        <f>(900+700+485)*10^-4</f>
        <v>0.20850000000000002</v>
      </c>
      <c r="E6" s="33" t="s">
        <v>172</v>
      </c>
      <c r="F6" s="33">
        <f>중기기초자료!F3</f>
        <v>0</v>
      </c>
      <c r="G6" s="33">
        <f>TRUNC(F6*D6,0)</f>
        <v>0</v>
      </c>
      <c r="H6" s="9" t="s">
        <v>1297</v>
      </c>
      <c r="I6" s="9" t="s">
        <v>1297</v>
      </c>
      <c r="K6" s="9" t="s">
        <v>166</v>
      </c>
      <c r="L6" s="9" t="s">
        <v>1297</v>
      </c>
      <c r="M6" s="9" t="s">
        <v>1211</v>
      </c>
      <c r="N6" s="9" t="s">
        <v>375</v>
      </c>
      <c r="AG6" s="34" t="str">
        <f>HYPERLINK("#중기기초자료!A3","G02010020 →")</f>
        <v>G02010020 →</v>
      </c>
    </row>
    <row r="7" spans="2:7" ht="18" customHeight="1">
      <c r="B7" s="9" t="s">
        <v>1098</v>
      </c>
      <c r="G7" s="33">
        <f>TRUNC(G6,0)</f>
        <v>0</v>
      </c>
    </row>
    <row r="8" spans="1:33" ht="18" customHeight="1">
      <c r="A8" s="9" t="s">
        <v>884</v>
      </c>
      <c r="B8" s="9" t="s">
        <v>221</v>
      </c>
      <c r="C8" s="9" t="s">
        <v>1297</v>
      </c>
      <c r="D8" s="9">
        <v>5</v>
      </c>
      <c r="E8" s="35" t="s">
        <v>1275</v>
      </c>
      <c r="F8" s="35">
        <f>중기기초자료!D26</f>
        <v>0</v>
      </c>
      <c r="G8" s="35">
        <f>TRUNC(F8*D8,2)</f>
        <v>0</v>
      </c>
      <c r="H8" s="9" t="s">
        <v>1297</v>
      </c>
      <c r="I8" s="9" t="s">
        <v>1297</v>
      </c>
      <c r="K8" s="9" t="s">
        <v>450</v>
      </c>
      <c r="L8" s="9" t="s">
        <v>1297</v>
      </c>
      <c r="M8" s="9" t="s">
        <v>262</v>
      </c>
      <c r="AG8" s="34" t="str">
        <f>HYPERLINK("#중기기초자료!A26","M9366005 →")</f>
        <v>M9366005 →</v>
      </c>
    </row>
    <row r="9" spans="2:14" ht="18" customHeight="1">
      <c r="B9" s="9" t="s">
        <v>103</v>
      </c>
      <c r="C9" s="9" t="s">
        <v>1297</v>
      </c>
      <c r="D9" s="9">
        <v>21</v>
      </c>
      <c r="E9" s="35" t="s">
        <v>522</v>
      </c>
      <c r="F9" s="35">
        <v>0</v>
      </c>
      <c r="G9" s="35">
        <f>TRUNC((G8)*D9/100,2)</f>
        <v>0</v>
      </c>
      <c r="H9" s="9" t="s">
        <v>1297</v>
      </c>
      <c r="I9" s="9" t="s">
        <v>1297</v>
      </c>
      <c r="K9" s="9" t="s">
        <v>139</v>
      </c>
      <c r="L9" s="9" t="s">
        <v>1297</v>
      </c>
      <c r="M9" s="9" t="s">
        <v>863</v>
      </c>
      <c r="N9" s="9" t="s">
        <v>1297</v>
      </c>
    </row>
    <row r="10" spans="2:7" ht="18" customHeight="1">
      <c r="B10" s="9" t="s">
        <v>1098</v>
      </c>
      <c r="G10" s="35">
        <f>TRUNC(G8+G9,2)</f>
        <v>0</v>
      </c>
    </row>
    <row r="11" spans="1:33" ht="18" customHeight="1">
      <c r="A11" s="9" t="s">
        <v>506</v>
      </c>
      <c r="B11" s="9" t="s">
        <v>293</v>
      </c>
      <c r="C11" s="9" t="s">
        <v>715</v>
      </c>
      <c r="D11" s="9">
        <v>1</v>
      </c>
      <c r="E11" s="33" t="s">
        <v>764</v>
      </c>
      <c r="F11" s="33">
        <f>TRUNC(중기기초자료!E22*중기전역변수!C18,0)</f>
        <v>0</v>
      </c>
      <c r="G11" s="33">
        <f>TRUNC(F11*D11,0)</f>
        <v>0</v>
      </c>
      <c r="H11" s="9" t="s">
        <v>1297</v>
      </c>
      <c r="I11" s="9" t="s">
        <v>1297</v>
      </c>
      <c r="K11" s="9" t="s">
        <v>723</v>
      </c>
      <c r="L11" s="9" t="s">
        <v>1297</v>
      </c>
      <c r="M11" s="9" t="s">
        <v>735</v>
      </c>
      <c r="AG11" s="34" t="str">
        <f>HYPERLINK("#중기기초자료!A22","L086 →")</f>
        <v>L086 →</v>
      </c>
    </row>
    <row r="12" spans="2:7" ht="18" customHeight="1">
      <c r="B12" s="9" t="s">
        <v>1098</v>
      </c>
      <c r="G12" s="33">
        <f>TRUNC(G11,0)</f>
        <v>0</v>
      </c>
    </row>
    <row r="13" spans="2:7" ht="18" customHeight="1">
      <c r="B13" s="9" t="s">
        <v>135</v>
      </c>
      <c r="G13" s="35">
        <f>TRUNC(G7+G10+G12,2)</f>
        <v>0</v>
      </c>
    </row>
    <row r="14" spans="1:8" ht="18" customHeight="1">
      <c r="A14" s="4"/>
      <c r="B14" s="4"/>
      <c r="C14" s="4"/>
      <c r="D14" s="4"/>
      <c r="E14" s="4"/>
      <c r="F14" s="4"/>
      <c r="G14" s="4"/>
      <c r="H14" s="4"/>
    </row>
    <row r="15" spans="1:10" ht="18" customHeight="1">
      <c r="A15" s="4" t="s">
        <v>1149</v>
      </c>
      <c r="B15" s="4" t="s">
        <v>1043</v>
      </c>
      <c r="C15" s="4"/>
      <c r="D15" s="4"/>
      <c r="E15" s="4"/>
      <c r="F15" s="4"/>
      <c r="G15" s="4"/>
      <c r="H15" s="4"/>
      <c r="I15" s="9" t="s">
        <v>1297</v>
      </c>
      <c r="J15" s="9" t="s">
        <v>897</v>
      </c>
    </row>
    <row r="16" spans="1:8" ht="18" customHeight="1">
      <c r="A16" s="4" t="s">
        <v>338</v>
      </c>
      <c r="B16" s="4" t="s">
        <v>880</v>
      </c>
      <c r="C16" s="4"/>
      <c r="D16" s="4"/>
      <c r="E16" s="4"/>
      <c r="F16" s="4"/>
      <c r="G16" s="4"/>
      <c r="H16" s="4"/>
    </row>
    <row r="17" spans="1:8" ht="18" customHeight="1">
      <c r="A17" s="32" t="s">
        <v>976</v>
      </c>
      <c r="B17" s="32"/>
      <c r="C17" s="32" t="s">
        <v>621</v>
      </c>
      <c r="D17" s="32" t="s">
        <v>42</v>
      </c>
      <c r="E17" s="32" t="s">
        <v>1219</v>
      </c>
      <c r="F17" s="32" t="s">
        <v>292</v>
      </c>
      <c r="G17" s="32" t="s">
        <v>185</v>
      </c>
      <c r="H17" s="32" t="s">
        <v>321</v>
      </c>
    </row>
    <row r="18" spans="1:33" ht="18" customHeight="1">
      <c r="A18" s="9" t="s">
        <v>93</v>
      </c>
      <c r="B18" s="9" t="s">
        <v>387</v>
      </c>
      <c r="C18" s="9" t="s">
        <v>4</v>
      </c>
      <c r="D18" s="9">
        <f>(900+700+485)*10^-4</f>
        <v>0.20850000000000002</v>
      </c>
      <c r="E18" s="33" t="s">
        <v>172</v>
      </c>
      <c r="F18" s="33">
        <f>중기기초자료!F3</f>
        <v>0</v>
      </c>
      <c r="G18" s="33">
        <f>TRUNC(F18*D18,0)</f>
        <v>0</v>
      </c>
      <c r="H18" s="9" t="s">
        <v>1297</v>
      </c>
      <c r="I18" s="9" t="s">
        <v>1297</v>
      </c>
      <c r="K18" s="9" t="s">
        <v>166</v>
      </c>
      <c r="L18" s="9" t="s">
        <v>1297</v>
      </c>
      <c r="M18" s="9" t="s">
        <v>1211</v>
      </c>
      <c r="N18" s="9" t="s">
        <v>375</v>
      </c>
      <c r="AG18" s="34" t="str">
        <f>HYPERLINK("#중기기초자료!A3","G02010020 →")</f>
        <v>G02010020 →</v>
      </c>
    </row>
    <row r="19" spans="2:33" ht="18" customHeight="1">
      <c r="B19" s="9" t="s">
        <v>367</v>
      </c>
      <c r="C19" s="9" t="s">
        <v>1143</v>
      </c>
      <c r="D19" s="9">
        <v>1</v>
      </c>
      <c r="E19" s="33" t="s">
        <v>323</v>
      </c>
      <c r="F19" s="33">
        <f>중기사용료목록!G6</f>
        <v>0</v>
      </c>
      <c r="G19" s="33">
        <f>TRUNC(F19*D19,0)</f>
        <v>0</v>
      </c>
      <c r="H19" s="9" t="s">
        <v>1297</v>
      </c>
      <c r="I19" s="9" t="s">
        <v>1297</v>
      </c>
      <c r="K19" s="9" t="s">
        <v>1095</v>
      </c>
      <c r="L19" s="9" t="s">
        <v>1297</v>
      </c>
      <c r="M19" s="9" t="s">
        <v>748</v>
      </c>
      <c r="AG19" s="34" t="str">
        <f>HYPERLINK("#중기사용료목록!A6","E0002300002 →")</f>
        <v>E0002300002 →</v>
      </c>
    </row>
    <row r="20" spans="2:7" ht="18" customHeight="1">
      <c r="B20" s="9" t="s">
        <v>1098</v>
      </c>
      <c r="G20" s="33">
        <f>TRUNC(G18+G19,0)</f>
        <v>0</v>
      </c>
    </row>
    <row r="21" spans="1:33" ht="18" customHeight="1">
      <c r="A21" s="9" t="s">
        <v>884</v>
      </c>
      <c r="B21" s="9" t="s">
        <v>221</v>
      </c>
      <c r="C21" s="9" t="s">
        <v>1297</v>
      </c>
      <c r="D21" s="9">
        <v>5</v>
      </c>
      <c r="E21" s="35" t="s">
        <v>1275</v>
      </c>
      <c r="F21" s="35">
        <f>중기기초자료!D26</f>
        <v>0</v>
      </c>
      <c r="G21" s="35">
        <f>TRUNC(F21*D21,2)</f>
        <v>0</v>
      </c>
      <c r="H21" s="9" t="s">
        <v>1297</v>
      </c>
      <c r="I21" s="9" t="s">
        <v>1297</v>
      </c>
      <c r="K21" s="9" t="s">
        <v>450</v>
      </c>
      <c r="L21" s="9" t="s">
        <v>1297</v>
      </c>
      <c r="M21" s="9" t="s">
        <v>262</v>
      </c>
      <c r="AG21" s="34" t="str">
        <f>HYPERLINK("#6","M9366005 →")</f>
        <v>M9366005 →</v>
      </c>
    </row>
    <row r="22" spans="2:33" ht="18" customHeight="1">
      <c r="B22" s="9" t="s">
        <v>103</v>
      </c>
      <c r="C22" s="9" t="s">
        <v>1297</v>
      </c>
      <c r="D22" s="9">
        <v>21</v>
      </c>
      <c r="E22" s="35" t="s">
        <v>522</v>
      </c>
      <c r="F22" s="35">
        <v>0</v>
      </c>
      <c r="G22" s="35">
        <f>TRUNC((G21)*D22/100,2)</f>
        <v>0</v>
      </c>
      <c r="H22" s="9" t="s">
        <v>1297</v>
      </c>
      <c r="I22" s="9" t="s">
        <v>1297</v>
      </c>
      <c r="K22" s="9" t="s">
        <v>139</v>
      </c>
      <c r="L22" s="9" t="s">
        <v>1297</v>
      </c>
      <c r="M22" s="9" t="s">
        <v>863</v>
      </c>
      <c r="N22" s="9" t="s">
        <v>1297</v>
      </c>
      <c r="AG22" s="34" t="str">
        <f>HYPERLINK("#6","F/M1 →")</f>
        <v>F/M1 →</v>
      </c>
    </row>
    <row r="23" spans="2:7" ht="18" customHeight="1">
      <c r="B23" s="9" t="s">
        <v>1098</v>
      </c>
      <c r="G23" s="35">
        <f>TRUNC(G21+G22,2)</f>
        <v>0</v>
      </c>
    </row>
    <row r="24" spans="1:33" ht="18" customHeight="1">
      <c r="A24" s="9" t="s">
        <v>506</v>
      </c>
      <c r="B24" s="9" t="s">
        <v>293</v>
      </c>
      <c r="C24" s="9" t="s">
        <v>715</v>
      </c>
      <c r="D24" s="9">
        <v>1</v>
      </c>
      <c r="E24" s="33" t="s">
        <v>764</v>
      </c>
      <c r="F24" s="33">
        <f>TRUNC(중기기초자료!E22*중기전역변수!C18,0)</f>
        <v>0</v>
      </c>
      <c r="G24" s="33">
        <f>TRUNC(F24*D24,0)</f>
        <v>0</v>
      </c>
      <c r="H24" s="9" t="s">
        <v>1297</v>
      </c>
      <c r="I24" s="9" t="s">
        <v>1297</v>
      </c>
      <c r="K24" s="9" t="s">
        <v>723</v>
      </c>
      <c r="L24" s="9" t="s">
        <v>1297</v>
      </c>
      <c r="M24" s="9" t="s">
        <v>735</v>
      </c>
      <c r="AG24" s="34" t="str">
        <f>HYPERLINK("#6","L086 →")</f>
        <v>L086 →</v>
      </c>
    </row>
    <row r="25" spans="2:7" ht="18" customHeight="1">
      <c r="B25" s="9" t="s">
        <v>1098</v>
      </c>
      <c r="G25" s="33">
        <f>TRUNC(G24,0)</f>
        <v>0</v>
      </c>
    </row>
    <row r="26" spans="2:7" ht="18" customHeight="1">
      <c r="B26" s="9" t="s">
        <v>135</v>
      </c>
      <c r="G26" s="35">
        <f>TRUNC(G20+G23+G25,2)</f>
        <v>0</v>
      </c>
    </row>
    <row r="27" spans="1:8" ht="18" customHeight="1">
      <c r="A27" s="4"/>
      <c r="B27" s="4"/>
      <c r="C27" s="4"/>
      <c r="D27" s="4"/>
      <c r="E27" s="4"/>
      <c r="F27" s="4"/>
      <c r="G27" s="4"/>
      <c r="H27" s="4"/>
    </row>
    <row r="28" spans="1:10" ht="18" customHeight="1">
      <c r="A28" s="4" t="s">
        <v>1149</v>
      </c>
      <c r="B28" s="4" t="s">
        <v>969</v>
      </c>
      <c r="C28" s="4"/>
      <c r="D28" s="4"/>
      <c r="E28" s="4"/>
      <c r="F28" s="4"/>
      <c r="G28" s="4"/>
      <c r="H28" s="4"/>
      <c r="I28" s="9" t="s">
        <v>1297</v>
      </c>
      <c r="J28" s="9" t="s">
        <v>559</v>
      </c>
    </row>
    <row r="29" spans="1:8" ht="18" customHeight="1">
      <c r="A29" s="4" t="s">
        <v>338</v>
      </c>
      <c r="B29" s="4" t="s">
        <v>601</v>
      </c>
      <c r="C29" s="4"/>
      <c r="D29" s="4"/>
      <c r="E29" s="4"/>
      <c r="F29" s="4"/>
      <c r="G29" s="4"/>
      <c r="H29" s="4"/>
    </row>
    <row r="30" spans="1:8" ht="18" customHeight="1">
      <c r="A30" s="32" t="s">
        <v>976</v>
      </c>
      <c r="B30" s="32"/>
      <c r="C30" s="32" t="s">
        <v>621</v>
      </c>
      <c r="D30" s="32" t="s">
        <v>42</v>
      </c>
      <c r="E30" s="32" t="s">
        <v>1219</v>
      </c>
      <c r="F30" s="32" t="s">
        <v>292</v>
      </c>
      <c r="G30" s="32" t="s">
        <v>185</v>
      </c>
      <c r="H30" s="32" t="s">
        <v>321</v>
      </c>
    </row>
    <row r="31" spans="1:33" ht="18" customHeight="1">
      <c r="A31" s="9" t="s">
        <v>93</v>
      </c>
      <c r="B31" s="9" t="s">
        <v>379</v>
      </c>
      <c r="C31" s="9" t="s">
        <v>410</v>
      </c>
      <c r="D31" s="9">
        <f>(900+700+679)*10^-4</f>
        <v>0.22790000000000002</v>
      </c>
      <c r="E31" s="33" t="s">
        <v>172</v>
      </c>
      <c r="F31" s="33">
        <f>중기기초자료!F4</f>
        <v>0</v>
      </c>
      <c r="G31" s="33">
        <f>TRUNC(F31*D31,0)</f>
        <v>0</v>
      </c>
      <c r="H31" s="9" t="s">
        <v>1297</v>
      </c>
      <c r="I31" s="9" t="s">
        <v>1297</v>
      </c>
      <c r="K31" s="9" t="s">
        <v>166</v>
      </c>
      <c r="L31" s="9" t="s">
        <v>1297</v>
      </c>
      <c r="M31" s="9" t="s">
        <v>924</v>
      </c>
      <c r="N31" s="9" t="s">
        <v>981</v>
      </c>
      <c r="AG31" s="34" t="str">
        <f>HYPERLINK("#6","G02110018 →")</f>
        <v>G02110018 →</v>
      </c>
    </row>
    <row r="32" spans="2:7" ht="18" customHeight="1">
      <c r="B32" s="9" t="s">
        <v>1098</v>
      </c>
      <c r="G32" s="33">
        <f>TRUNC(G31,0)</f>
        <v>0</v>
      </c>
    </row>
    <row r="33" spans="1:33" ht="18" customHeight="1">
      <c r="A33" s="9" t="s">
        <v>884</v>
      </c>
      <c r="B33" s="9" t="s">
        <v>221</v>
      </c>
      <c r="C33" s="9" t="s">
        <v>1297</v>
      </c>
      <c r="D33" s="9">
        <v>5.6</v>
      </c>
      <c r="E33" s="35" t="s">
        <v>1275</v>
      </c>
      <c r="F33" s="35">
        <f>중기기초자료!D26</f>
        <v>0</v>
      </c>
      <c r="G33" s="35">
        <f>TRUNC(F33*D33,2)</f>
        <v>0</v>
      </c>
      <c r="H33" s="9" t="s">
        <v>1297</v>
      </c>
      <c r="I33" s="9" t="s">
        <v>1297</v>
      </c>
      <c r="K33" s="9" t="s">
        <v>450</v>
      </c>
      <c r="L33" s="9" t="s">
        <v>1297</v>
      </c>
      <c r="M33" s="9" t="s">
        <v>262</v>
      </c>
      <c r="AG33" s="34" t="str">
        <f>HYPERLINK("#6","M9366005 →")</f>
        <v>M9366005 →</v>
      </c>
    </row>
    <row r="34" spans="2:33" ht="18" customHeight="1">
      <c r="B34" s="9" t="s">
        <v>103</v>
      </c>
      <c r="C34" s="9" t="s">
        <v>1297</v>
      </c>
      <c r="D34" s="9">
        <v>24</v>
      </c>
      <c r="E34" s="35" t="s">
        <v>522</v>
      </c>
      <c r="F34" s="35">
        <v>0</v>
      </c>
      <c r="G34" s="35">
        <f>TRUNC((G33)*D34/100,2)</f>
        <v>0</v>
      </c>
      <c r="H34" s="9" t="s">
        <v>1297</v>
      </c>
      <c r="I34" s="9" t="s">
        <v>1297</v>
      </c>
      <c r="K34" s="9" t="s">
        <v>139</v>
      </c>
      <c r="L34" s="9" t="s">
        <v>1297</v>
      </c>
      <c r="M34" s="9" t="s">
        <v>863</v>
      </c>
      <c r="N34" s="9" t="s">
        <v>1297</v>
      </c>
      <c r="AG34" s="34" t="str">
        <f>HYPERLINK("#6","F/M1 →")</f>
        <v>F/M1 →</v>
      </c>
    </row>
    <row r="35" spans="2:7" ht="18" customHeight="1">
      <c r="B35" s="9" t="s">
        <v>1098</v>
      </c>
      <c r="G35" s="35">
        <f>TRUNC(G33+G34,2)</f>
        <v>0</v>
      </c>
    </row>
    <row r="36" spans="1:33" ht="18" customHeight="1">
      <c r="A36" s="9" t="s">
        <v>506</v>
      </c>
      <c r="B36" s="9" t="s">
        <v>293</v>
      </c>
      <c r="C36" s="9" t="s">
        <v>715</v>
      </c>
      <c r="D36" s="9">
        <v>1</v>
      </c>
      <c r="E36" s="33" t="s">
        <v>764</v>
      </c>
      <c r="F36" s="33">
        <f>TRUNC(중기기초자료!E22*중기전역변수!C18,0)</f>
        <v>0</v>
      </c>
      <c r="G36" s="33">
        <f>TRUNC(F36*D36,0)</f>
        <v>0</v>
      </c>
      <c r="H36" s="9" t="s">
        <v>1297</v>
      </c>
      <c r="I36" s="9" t="s">
        <v>1297</v>
      </c>
      <c r="K36" s="9" t="s">
        <v>723</v>
      </c>
      <c r="L36" s="9" t="s">
        <v>1297</v>
      </c>
      <c r="M36" s="9" t="s">
        <v>735</v>
      </c>
      <c r="AG36" s="34" t="str">
        <f>HYPERLINK("#6","L086 →")</f>
        <v>L086 →</v>
      </c>
    </row>
    <row r="37" spans="2:7" ht="18" customHeight="1">
      <c r="B37" s="9" t="s">
        <v>1098</v>
      </c>
      <c r="G37" s="33">
        <f>TRUNC(G36,0)</f>
        <v>0</v>
      </c>
    </row>
    <row r="38" spans="2:7" ht="18" customHeight="1">
      <c r="B38" s="9" t="s">
        <v>135</v>
      </c>
      <c r="G38" s="35">
        <f>TRUNC(G32+G35+G37,2)</f>
        <v>0</v>
      </c>
    </row>
    <row r="39" spans="1:8" ht="18" customHeight="1">
      <c r="A39" s="4"/>
      <c r="B39" s="4"/>
      <c r="C39" s="4"/>
      <c r="D39" s="4"/>
      <c r="E39" s="4"/>
      <c r="F39" s="4"/>
      <c r="G39" s="4"/>
      <c r="H39" s="4"/>
    </row>
    <row r="40" spans="1:10" ht="18" customHeight="1">
      <c r="A40" s="4" t="s">
        <v>1149</v>
      </c>
      <c r="B40" s="4" t="s">
        <v>614</v>
      </c>
      <c r="C40" s="4"/>
      <c r="D40" s="4"/>
      <c r="E40" s="4"/>
      <c r="F40" s="4"/>
      <c r="G40" s="4"/>
      <c r="H40" s="4"/>
      <c r="I40" s="9" t="s">
        <v>1297</v>
      </c>
      <c r="J40" s="9" t="s">
        <v>748</v>
      </c>
    </row>
    <row r="41" spans="1:8" ht="18" customHeight="1">
      <c r="A41" s="4" t="s">
        <v>338</v>
      </c>
      <c r="B41" s="4" t="s">
        <v>49</v>
      </c>
      <c r="C41" s="4"/>
      <c r="D41" s="4"/>
      <c r="E41" s="4"/>
      <c r="F41" s="4"/>
      <c r="G41" s="4"/>
      <c r="H41" s="4"/>
    </row>
    <row r="42" spans="1:8" ht="18" customHeight="1">
      <c r="A42" s="32" t="s">
        <v>976</v>
      </c>
      <c r="B42" s="32"/>
      <c r="C42" s="32" t="s">
        <v>621</v>
      </c>
      <c r="D42" s="32" t="s">
        <v>42</v>
      </c>
      <c r="E42" s="32" t="s">
        <v>1219</v>
      </c>
      <c r="F42" s="32" t="s">
        <v>292</v>
      </c>
      <c r="G42" s="32" t="s">
        <v>185</v>
      </c>
      <c r="H42" s="32" t="s">
        <v>321</v>
      </c>
    </row>
    <row r="43" spans="1:33" ht="18" customHeight="1">
      <c r="A43" s="9" t="s">
        <v>93</v>
      </c>
      <c r="B43" s="9" t="s">
        <v>367</v>
      </c>
      <c r="C43" s="9" t="s">
        <v>1143</v>
      </c>
      <c r="D43" s="9">
        <f>(3000+2833+768)*10^-4</f>
        <v>0.6601</v>
      </c>
      <c r="E43" s="33" t="s">
        <v>172</v>
      </c>
      <c r="F43" s="33">
        <f>중기기초자료!F5</f>
        <v>0</v>
      </c>
      <c r="G43" s="33">
        <f>TRUNC(F43*D43,0)</f>
        <v>0</v>
      </c>
      <c r="H43" s="9" t="s">
        <v>1297</v>
      </c>
      <c r="I43" s="9" t="s">
        <v>1297</v>
      </c>
      <c r="K43" s="9" t="s">
        <v>166</v>
      </c>
      <c r="L43" s="9" t="s">
        <v>1297</v>
      </c>
      <c r="M43" s="9" t="s">
        <v>467</v>
      </c>
      <c r="N43" s="9" t="s">
        <v>28</v>
      </c>
      <c r="AG43" s="34" t="str">
        <f>HYPERLINK("#6","G02300002 →")</f>
        <v>G02300002 →</v>
      </c>
    </row>
    <row r="44" spans="2:7" ht="18" customHeight="1">
      <c r="B44" s="9" t="s">
        <v>1098</v>
      </c>
      <c r="G44" s="33">
        <f>TRUNC(G43,0)</f>
        <v>0</v>
      </c>
    </row>
    <row r="45" ht="18" customHeight="1">
      <c r="A45" s="9" t="s">
        <v>884</v>
      </c>
    </row>
    <row r="46" ht="18" customHeight="1">
      <c r="B46" s="9" t="s">
        <v>1098</v>
      </c>
    </row>
    <row r="47" ht="18" customHeight="1">
      <c r="A47" s="9" t="s">
        <v>506</v>
      </c>
    </row>
    <row r="48" ht="18" customHeight="1">
      <c r="B48" s="9" t="s">
        <v>1098</v>
      </c>
    </row>
    <row r="49" spans="2:7" ht="18" customHeight="1">
      <c r="B49" s="9" t="s">
        <v>135</v>
      </c>
      <c r="G49" s="35">
        <f>TRUNC(G44+G46+G48,2)</f>
        <v>0</v>
      </c>
    </row>
    <row r="50" spans="1:8" ht="18" customHeight="1">
      <c r="A50" s="4"/>
      <c r="B50" s="4"/>
      <c r="C50" s="4"/>
      <c r="D50" s="4"/>
      <c r="E50" s="4"/>
      <c r="F50" s="4"/>
      <c r="G50" s="4"/>
      <c r="H50" s="4"/>
    </row>
    <row r="51" spans="1:10" ht="18" customHeight="1">
      <c r="A51" s="4" t="s">
        <v>1149</v>
      </c>
      <c r="B51" s="4" t="s">
        <v>915</v>
      </c>
      <c r="C51" s="4"/>
      <c r="D51" s="4"/>
      <c r="E51" s="4"/>
      <c r="F51" s="4"/>
      <c r="G51" s="4"/>
      <c r="H51" s="4"/>
      <c r="I51" s="9" t="s">
        <v>1297</v>
      </c>
      <c r="J51" s="9" t="s">
        <v>203</v>
      </c>
    </row>
    <row r="52" spans="1:8" ht="18" customHeight="1">
      <c r="A52" s="4" t="s">
        <v>338</v>
      </c>
      <c r="B52" s="4" t="s">
        <v>1081</v>
      </c>
      <c r="C52" s="4"/>
      <c r="D52" s="4"/>
      <c r="E52" s="4"/>
      <c r="F52" s="4"/>
      <c r="G52" s="4"/>
      <c r="H52" s="4"/>
    </row>
    <row r="53" spans="1:8" ht="18" customHeight="1">
      <c r="A53" s="32" t="s">
        <v>976</v>
      </c>
      <c r="B53" s="32"/>
      <c r="C53" s="32" t="s">
        <v>621</v>
      </c>
      <c r="D53" s="32" t="s">
        <v>42</v>
      </c>
      <c r="E53" s="32" t="s">
        <v>1219</v>
      </c>
      <c r="F53" s="32" t="s">
        <v>292</v>
      </c>
      <c r="G53" s="32" t="s">
        <v>185</v>
      </c>
      <c r="H53" s="32" t="s">
        <v>321</v>
      </c>
    </row>
    <row r="54" spans="1:33" ht="18" customHeight="1">
      <c r="A54" s="9" t="s">
        <v>93</v>
      </c>
      <c r="B54" s="9" t="s">
        <v>831</v>
      </c>
      <c r="C54" s="9" t="s">
        <v>972</v>
      </c>
      <c r="D54" s="9">
        <f>(900+700+485)*10^-4</f>
        <v>0.20850000000000002</v>
      </c>
      <c r="E54" s="33" t="s">
        <v>172</v>
      </c>
      <c r="F54" s="33">
        <f>중기기초자료!F6</f>
        <v>0</v>
      </c>
      <c r="G54" s="33">
        <f>TRUNC(F54*D54,0)</f>
        <v>0</v>
      </c>
      <c r="H54" s="9" t="s">
        <v>1297</v>
      </c>
      <c r="I54" s="9" t="s">
        <v>1297</v>
      </c>
      <c r="K54" s="9" t="s">
        <v>166</v>
      </c>
      <c r="L54" s="9" t="s">
        <v>1297</v>
      </c>
      <c r="M54" s="9" t="s">
        <v>1209</v>
      </c>
      <c r="N54" s="9" t="s">
        <v>375</v>
      </c>
      <c r="AG54" s="34" t="str">
        <f>HYPERLINK("#6","G03020057 →")</f>
        <v>G03020057 →</v>
      </c>
    </row>
    <row r="55" spans="2:7" ht="18" customHeight="1">
      <c r="B55" s="9" t="s">
        <v>1098</v>
      </c>
      <c r="G55" s="33">
        <f>TRUNC(G54,0)</f>
        <v>0</v>
      </c>
    </row>
    <row r="56" spans="1:33" ht="18" customHeight="1">
      <c r="A56" s="9" t="s">
        <v>884</v>
      </c>
      <c r="B56" s="9" t="s">
        <v>221</v>
      </c>
      <c r="C56" s="9" t="s">
        <v>1297</v>
      </c>
      <c r="D56" s="9">
        <v>3.5</v>
      </c>
      <c r="E56" s="35" t="s">
        <v>1275</v>
      </c>
      <c r="F56" s="35">
        <f>중기기초자료!D26</f>
        <v>0</v>
      </c>
      <c r="G56" s="35">
        <f>TRUNC(F56*D56,2)</f>
        <v>0</v>
      </c>
      <c r="H56" s="9" t="s">
        <v>1297</v>
      </c>
      <c r="I56" s="9" t="s">
        <v>1297</v>
      </c>
      <c r="K56" s="9" t="s">
        <v>450</v>
      </c>
      <c r="L56" s="9" t="s">
        <v>1297</v>
      </c>
      <c r="M56" s="9" t="s">
        <v>262</v>
      </c>
      <c r="AG56" s="34" t="str">
        <f>HYPERLINK("#6","M9366005 →")</f>
        <v>M9366005 →</v>
      </c>
    </row>
    <row r="57" spans="2:33" ht="18" customHeight="1">
      <c r="B57" s="9" t="s">
        <v>103</v>
      </c>
      <c r="C57" s="9" t="s">
        <v>1297</v>
      </c>
      <c r="D57" s="9">
        <v>44</v>
      </c>
      <c r="E57" s="35" t="s">
        <v>522</v>
      </c>
      <c r="F57" s="35">
        <v>0</v>
      </c>
      <c r="G57" s="35">
        <f>TRUNC((G56)*D57/100,2)</f>
        <v>0</v>
      </c>
      <c r="H57" s="9" t="s">
        <v>1297</v>
      </c>
      <c r="I57" s="9" t="s">
        <v>1297</v>
      </c>
      <c r="K57" s="9" t="s">
        <v>139</v>
      </c>
      <c r="L57" s="9" t="s">
        <v>1297</v>
      </c>
      <c r="M57" s="9" t="s">
        <v>863</v>
      </c>
      <c r="N57" s="9" t="s">
        <v>1297</v>
      </c>
      <c r="AG57" s="34" t="str">
        <f>HYPERLINK("#6","F/M1 →")</f>
        <v>F/M1 →</v>
      </c>
    </row>
    <row r="58" spans="2:7" ht="18" customHeight="1">
      <c r="B58" s="9" t="s">
        <v>1098</v>
      </c>
      <c r="G58" s="35">
        <f>TRUNC(G56+G57,2)</f>
        <v>0</v>
      </c>
    </row>
    <row r="59" spans="1:33" ht="18" customHeight="1">
      <c r="A59" s="9" t="s">
        <v>506</v>
      </c>
      <c r="B59" s="9" t="s">
        <v>293</v>
      </c>
      <c r="C59" s="9" t="s">
        <v>715</v>
      </c>
      <c r="D59" s="9">
        <v>1</v>
      </c>
      <c r="E59" s="33" t="s">
        <v>764</v>
      </c>
      <c r="F59" s="33">
        <f>TRUNC(중기기초자료!E22*중기전역변수!C18,0)</f>
        <v>0</v>
      </c>
      <c r="G59" s="33">
        <f>TRUNC(F59*D59,0)</f>
        <v>0</v>
      </c>
      <c r="H59" s="9" t="s">
        <v>1297</v>
      </c>
      <c r="I59" s="9" t="s">
        <v>1297</v>
      </c>
      <c r="K59" s="9" t="s">
        <v>723</v>
      </c>
      <c r="L59" s="9" t="s">
        <v>1297</v>
      </c>
      <c r="M59" s="9" t="s">
        <v>735</v>
      </c>
      <c r="AG59" s="34" t="str">
        <f>HYPERLINK("#6","L086 →")</f>
        <v>L086 →</v>
      </c>
    </row>
    <row r="60" spans="2:7" ht="18" customHeight="1">
      <c r="B60" s="9" t="s">
        <v>1098</v>
      </c>
      <c r="G60" s="33">
        <f>TRUNC(G59,0)</f>
        <v>0</v>
      </c>
    </row>
    <row r="61" spans="2:7" ht="18" customHeight="1">
      <c r="B61" s="9" t="s">
        <v>135</v>
      </c>
      <c r="G61" s="35">
        <f>TRUNC(G55+G58+G60,2)</f>
        <v>0</v>
      </c>
    </row>
    <row r="62" spans="1:8" ht="18" customHeight="1">
      <c r="A62" s="4"/>
      <c r="B62" s="4"/>
      <c r="C62" s="4"/>
      <c r="D62" s="4"/>
      <c r="E62" s="4"/>
      <c r="F62" s="4"/>
      <c r="G62" s="4"/>
      <c r="H62" s="4"/>
    </row>
    <row r="63" spans="1:10" ht="18" customHeight="1">
      <c r="A63" s="4" t="s">
        <v>1149</v>
      </c>
      <c r="B63" s="4" t="s">
        <v>963</v>
      </c>
      <c r="C63" s="4"/>
      <c r="D63" s="4"/>
      <c r="E63" s="4"/>
      <c r="F63" s="4"/>
      <c r="G63" s="4"/>
      <c r="H63" s="4"/>
      <c r="I63" s="9" t="s">
        <v>1297</v>
      </c>
      <c r="J63" s="9" t="s">
        <v>523</v>
      </c>
    </row>
    <row r="64" spans="1:8" ht="18" customHeight="1">
      <c r="A64" s="4" t="s">
        <v>338</v>
      </c>
      <c r="B64" s="4" t="s">
        <v>643</v>
      </c>
      <c r="C64" s="4"/>
      <c r="D64" s="4"/>
      <c r="E64" s="4"/>
      <c r="F64" s="4"/>
      <c r="G64" s="4"/>
      <c r="H64" s="4"/>
    </row>
    <row r="65" spans="1:8" ht="18" customHeight="1">
      <c r="A65" s="32" t="s">
        <v>976</v>
      </c>
      <c r="B65" s="32"/>
      <c r="C65" s="32" t="s">
        <v>621</v>
      </c>
      <c r="D65" s="32" t="s">
        <v>42</v>
      </c>
      <c r="E65" s="32" t="s">
        <v>1219</v>
      </c>
      <c r="F65" s="32" t="s">
        <v>292</v>
      </c>
      <c r="G65" s="32" t="s">
        <v>185</v>
      </c>
      <c r="H65" s="32" t="s">
        <v>321</v>
      </c>
    </row>
    <row r="66" spans="1:33" ht="18" customHeight="1">
      <c r="A66" s="9" t="s">
        <v>93</v>
      </c>
      <c r="B66" s="9" t="s">
        <v>554</v>
      </c>
      <c r="C66" s="9" t="s">
        <v>511</v>
      </c>
      <c r="D66" s="9">
        <f>(1200+1067+700)*10^-4</f>
        <v>0.2967</v>
      </c>
      <c r="E66" s="33" t="s">
        <v>172</v>
      </c>
      <c r="F66" s="33">
        <f>중기기초자료!F7</f>
        <v>0</v>
      </c>
      <c r="G66" s="33">
        <f>TRUNC(F66*D66,0)</f>
        <v>0</v>
      </c>
      <c r="H66" s="9" t="s">
        <v>1297</v>
      </c>
      <c r="I66" s="9" t="s">
        <v>1297</v>
      </c>
      <c r="K66" s="9" t="s">
        <v>166</v>
      </c>
      <c r="L66" s="9" t="s">
        <v>1297</v>
      </c>
      <c r="M66" s="9" t="s">
        <v>816</v>
      </c>
      <c r="N66" s="9" t="s">
        <v>538</v>
      </c>
      <c r="AG66" s="34" t="str">
        <f>HYPERLINK("#6","G06020025 →")</f>
        <v>G06020025 →</v>
      </c>
    </row>
    <row r="67" spans="2:7" ht="18" customHeight="1">
      <c r="B67" s="9" t="s">
        <v>1098</v>
      </c>
      <c r="G67" s="33">
        <f>TRUNC(G66,0)</f>
        <v>0</v>
      </c>
    </row>
    <row r="68" spans="1:33" ht="18" customHeight="1">
      <c r="A68" s="9" t="s">
        <v>884</v>
      </c>
      <c r="B68" s="9" t="s">
        <v>221</v>
      </c>
      <c r="C68" s="9" t="s">
        <v>1297</v>
      </c>
      <c r="D68" s="9">
        <v>2.9</v>
      </c>
      <c r="E68" s="35" t="s">
        <v>1275</v>
      </c>
      <c r="F68" s="35">
        <f>중기기초자료!D26</f>
        <v>0</v>
      </c>
      <c r="G68" s="35">
        <f>TRUNC(F68*D68,2)</f>
        <v>0</v>
      </c>
      <c r="H68" s="9" t="s">
        <v>1297</v>
      </c>
      <c r="I68" s="9" t="s">
        <v>1297</v>
      </c>
      <c r="K68" s="9" t="s">
        <v>450</v>
      </c>
      <c r="L68" s="9" t="s">
        <v>1297</v>
      </c>
      <c r="M68" s="9" t="s">
        <v>262</v>
      </c>
      <c r="AG68" s="34" t="str">
        <f>HYPERLINK("#6","M9366005 →")</f>
        <v>M9366005 →</v>
      </c>
    </row>
    <row r="69" spans="2:33" ht="18" customHeight="1">
      <c r="B69" s="9" t="s">
        <v>103</v>
      </c>
      <c r="C69" s="9" t="s">
        <v>1297</v>
      </c>
      <c r="D69" s="9">
        <v>38</v>
      </c>
      <c r="E69" s="35" t="s">
        <v>522</v>
      </c>
      <c r="F69" s="35">
        <v>0</v>
      </c>
      <c r="G69" s="35">
        <f>TRUNC((G68)*D69/100,2)</f>
        <v>0</v>
      </c>
      <c r="H69" s="9" t="s">
        <v>1297</v>
      </c>
      <c r="I69" s="9" t="s">
        <v>1297</v>
      </c>
      <c r="K69" s="9" t="s">
        <v>139</v>
      </c>
      <c r="L69" s="9" t="s">
        <v>1297</v>
      </c>
      <c r="M69" s="9" t="s">
        <v>863</v>
      </c>
      <c r="N69" s="9" t="s">
        <v>1297</v>
      </c>
      <c r="AG69" s="34" t="str">
        <f>HYPERLINK("#6","F/M1 →")</f>
        <v>F/M1 →</v>
      </c>
    </row>
    <row r="70" spans="2:7" ht="18" customHeight="1">
      <c r="B70" s="9" t="s">
        <v>1098</v>
      </c>
      <c r="G70" s="35">
        <f>TRUNC(G68+G69,2)</f>
        <v>0</v>
      </c>
    </row>
    <row r="71" spans="1:33" ht="18" customHeight="1">
      <c r="A71" s="9" t="s">
        <v>506</v>
      </c>
      <c r="B71" s="9" t="s">
        <v>98</v>
      </c>
      <c r="C71" s="9" t="s">
        <v>713</v>
      </c>
      <c r="D71" s="9">
        <v>1</v>
      </c>
      <c r="E71" s="33" t="s">
        <v>764</v>
      </c>
      <c r="F71" s="33">
        <f>TRUNC(중기기초자료!E23*중기전역변수!C18,0)</f>
        <v>0</v>
      </c>
      <c r="G71" s="33">
        <f>TRUNC(F71*D71,0)</f>
        <v>0</v>
      </c>
      <c r="H71" s="9" t="s">
        <v>1297</v>
      </c>
      <c r="I71" s="9" t="s">
        <v>285</v>
      </c>
      <c r="K71" s="9" t="s">
        <v>723</v>
      </c>
      <c r="L71" s="9" t="s">
        <v>1297</v>
      </c>
      <c r="M71" s="9" t="s">
        <v>14</v>
      </c>
      <c r="AG71" s="34" t="str">
        <f>HYPERLINK("#6","L087 →")</f>
        <v>L087 →</v>
      </c>
    </row>
    <row r="72" spans="2:7" ht="18" customHeight="1">
      <c r="B72" s="9" t="s">
        <v>1098</v>
      </c>
      <c r="G72" s="33">
        <f>TRUNC(G71,0)</f>
        <v>0</v>
      </c>
    </row>
    <row r="73" spans="2:7" ht="18" customHeight="1">
      <c r="B73" s="9" t="s">
        <v>135</v>
      </c>
      <c r="G73" s="35">
        <f>TRUNC(G67+G70+G72,2)</f>
        <v>0</v>
      </c>
    </row>
    <row r="74" spans="1:8" ht="18" customHeight="1">
      <c r="A74" s="4"/>
      <c r="B74" s="4"/>
      <c r="C74" s="4"/>
      <c r="D74" s="4"/>
      <c r="E74" s="4"/>
      <c r="F74" s="4"/>
      <c r="G74" s="4"/>
      <c r="H74" s="4"/>
    </row>
    <row r="75" spans="1:10" ht="18" customHeight="1">
      <c r="A75" s="4" t="s">
        <v>1149</v>
      </c>
      <c r="B75" s="4" t="s">
        <v>648</v>
      </c>
      <c r="C75" s="4"/>
      <c r="D75" s="4"/>
      <c r="E75" s="4"/>
      <c r="F75" s="4"/>
      <c r="G75" s="4"/>
      <c r="H75" s="4"/>
      <c r="I75" s="9" t="s">
        <v>1297</v>
      </c>
      <c r="J75" s="9" t="s">
        <v>1228</v>
      </c>
    </row>
    <row r="76" spans="1:8" ht="18" customHeight="1">
      <c r="A76" s="4" t="s">
        <v>338</v>
      </c>
      <c r="B76" s="4" t="s">
        <v>1142</v>
      </c>
      <c r="C76" s="4"/>
      <c r="D76" s="4"/>
      <c r="E76" s="4"/>
      <c r="F76" s="4"/>
      <c r="G76" s="4"/>
      <c r="H76" s="4"/>
    </row>
    <row r="77" spans="1:8" ht="18" customHeight="1">
      <c r="A77" s="32" t="s">
        <v>976</v>
      </c>
      <c r="B77" s="32"/>
      <c r="C77" s="32" t="s">
        <v>621</v>
      </c>
      <c r="D77" s="32" t="s">
        <v>42</v>
      </c>
      <c r="E77" s="32" t="s">
        <v>1219</v>
      </c>
      <c r="F77" s="32" t="s">
        <v>292</v>
      </c>
      <c r="G77" s="32" t="s">
        <v>185</v>
      </c>
      <c r="H77" s="32" t="s">
        <v>321</v>
      </c>
    </row>
    <row r="78" spans="1:33" ht="18" customHeight="1">
      <c r="A78" s="9" t="s">
        <v>93</v>
      </c>
      <c r="B78" s="9" t="s">
        <v>554</v>
      </c>
      <c r="C78" s="9" t="s">
        <v>178</v>
      </c>
      <c r="D78" s="9">
        <f>(1200+1067+700)*10^-4</f>
        <v>0.2967</v>
      </c>
      <c r="E78" s="33" t="s">
        <v>172</v>
      </c>
      <c r="F78" s="33">
        <f>중기기초자료!F8</f>
        <v>0</v>
      </c>
      <c r="G78" s="33">
        <f>TRUNC(F78*D78,0)</f>
        <v>0</v>
      </c>
      <c r="H78" s="9" t="s">
        <v>1297</v>
      </c>
      <c r="I78" s="9" t="s">
        <v>1297</v>
      </c>
      <c r="K78" s="9" t="s">
        <v>166</v>
      </c>
      <c r="L78" s="9" t="s">
        <v>1297</v>
      </c>
      <c r="M78" s="9" t="s">
        <v>194</v>
      </c>
      <c r="N78" s="9" t="s">
        <v>538</v>
      </c>
      <c r="AG78" s="34" t="str">
        <f>HYPERLINK("#6","G06020045 →")</f>
        <v>G06020045 →</v>
      </c>
    </row>
    <row r="79" spans="2:7" ht="18" customHeight="1">
      <c r="B79" s="9" t="s">
        <v>1098</v>
      </c>
      <c r="G79" s="33">
        <f>TRUNC(G78,0)</f>
        <v>0</v>
      </c>
    </row>
    <row r="80" spans="1:33" ht="18" customHeight="1">
      <c r="A80" s="9" t="s">
        <v>884</v>
      </c>
      <c r="B80" s="9" t="s">
        <v>221</v>
      </c>
      <c r="C80" s="9" t="s">
        <v>1297</v>
      </c>
      <c r="D80" s="9">
        <v>5</v>
      </c>
      <c r="E80" s="35" t="s">
        <v>1275</v>
      </c>
      <c r="F80" s="35">
        <f>중기기초자료!D26</f>
        <v>0</v>
      </c>
      <c r="G80" s="35">
        <f>TRUNC(F80*D80,2)</f>
        <v>0</v>
      </c>
      <c r="H80" s="9" t="s">
        <v>1297</v>
      </c>
      <c r="I80" s="9" t="s">
        <v>1297</v>
      </c>
      <c r="K80" s="9" t="s">
        <v>450</v>
      </c>
      <c r="L80" s="9" t="s">
        <v>1297</v>
      </c>
      <c r="M80" s="9" t="s">
        <v>262</v>
      </c>
      <c r="AG80" s="34" t="str">
        <f>HYPERLINK("#6","M9366005 →")</f>
        <v>M9366005 →</v>
      </c>
    </row>
    <row r="81" spans="2:33" ht="18" customHeight="1">
      <c r="B81" s="9" t="s">
        <v>103</v>
      </c>
      <c r="C81" s="9" t="s">
        <v>1297</v>
      </c>
      <c r="D81" s="9">
        <v>38</v>
      </c>
      <c r="E81" s="35" t="s">
        <v>522</v>
      </c>
      <c r="F81" s="35">
        <v>0</v>
      </c>
      <c r="G81" s="35">
        <f>TRUNC((G80)*D81/100,2)</f>
        <v>0</v>
      </c>
      <c r="H81" s="9" t="s">
        <v>1297</v>
      </c>
      <c r="I81" s="9" t="s">
        <v>1297</v>
      </c>
      <c r="K81" s="9" t="s">
        <v>139</v>
      </c>
      <c r="L81" s="9" t="s">
        <v>1297</v>
      </c>
      <c r="M81" s="9" t="s">
        <v>863</v>
      </c>
      <c r="N81" s="9" t="s">
        <v>1297</v>
      </c>
      <c r="AG81" s="34" t="str">
        <f>HYPERLINK("#6","F/M1 →")</f>
        <v>F/M1 →</v>
      </c>
    </row>
    <row r="82" spans="2:7" ht="18" customHeight="1">
      <c r="B82" s="9" t="s">
        <v>1098</v>
      </c>
      <c r="G82" s="35">
        <f>TRUNC(G80+G81,2)</f>
        <v>0</v>
      </c>
    </row>
    <row r="83" spans="1:33" ht="18" customHeight="1">
      <c r="A83" s="9" t="s">
        <v>506</v>
      </c>
      <c r="B83" s="9" t="s">
        <v>98</v>
      </c>
      <c r="C83" s="9" t="s">
        <v>713</v>
      </c>
      <c r="D83" s="9">
        <v>1</v>
      </c>
      <c r="E83" s="33" t="s">
        <v>764</v>
      </c>
      <c r="F83" s="33">
        <f>TRUNC(중기기초자료!E23*중기전역변수!C18,0)</f>
        <v>0</v>
      </c>
      <c r="G83" s="33">
        <f>TRUNC(F83*D83,0)</f>
        <v>0</v>
      </c>
      <c r="H83" s="9" t="s">
        <v>1297</v>
      </c>
      <c r="I83" s="9" t="s">
        <v>1297</v>
      </c>
      <c r="K83" s="9" t="s">
        <v>723</v>
      </c>
      <c r="L83" s="9" t="s">
        <v>1297</v>
      </c>
      <c r="M83" s="9" t="s">
        <v>14</v>
      </c>
      <c r="AG83" s="34" t="str">
        <f>HYPERLINK("#6","L087 →")</f>
        <v>L087 →</v>
      </c>
    </row>
    <row r="84" spans="2:7" ht="18" customHeight="1">
      <c r="B84" s="9" t="s">
        <v>1098</v>
      </c>
      <c r="G84" s="33">
        <f>TRUNC(G83,0)</f>
        <v>0</v>
      </c>
    </row>
    <row r="85" spans="2:7" ht="18" customHeight="1">
      <c r="B85" s="9" t="s">
        <v>135</v>
      </c>
      <c r="G85" s="35">
        <f>TRUNC(G79+G82+G84,2)</f>
        <v>0</v>
      </c>
    </row>
    <row r="86" spans="1:8" ht="18" customHeight="1">
      <c r="A86" s="4"/>
      <c r="B86" s="4"/>
      <c r="C86" s="4"/>
      <c r="D86" s="4"/>
      <c r="E86" s="4"/>
      <c r="F86" s="4"/>
      <c r="G86" s="4"/>
      <c r="H86" s="4"/>
    </row>
    <row r="87" spans="1:10" ht="18" customHeight="1">
      <c r="A87" s="4" t="s">
        <v>1149</v>
      </c>
      <c r="B87" s="4" t="s">
        <v>108</v>
      </c>
      <c r="C87" s="4"/>
      <c r="D87" s="4"/>
      <c r="E87" s="4"/>
      <c r="F87" s="4"/>
      <c r="G87" s="4"/>
      <c r="H87" s="4"/>
      <c r="I87" s="9" t="s">
        <v>1297</v>
      </c>
      <c r="J87" s="9" t="s">
        <v>114</v>
      </c>
    </row>
    <row r="88" spans="1:8" ht="18" customHeight="1">
      <c r="A88" s="4" t="s">
        <v>338</v>
      </c>
      <c r="B88" s="4" t="s">
        <v>214</v>
      </c>
      <c r="C88" s="4"/>
      <c r="D88" s="4"/>
      <c r="E88" s="4"/>
      <c r="F88" s="4"/>
      <c r="G88" s="4"/>
      <c r="H88" s="4"/>
    </row>
    <row r="89" spans="1:8" ht="18" customHeight="1">
      <c r="A89" s="32" t="s">
        <v>976</v>
      </c>
      <c r="B89" s="32"/>
      <c r="C89" s="32" t="s">
        <v>621</v>
      </c>
      <c r="D89" s="32" t="s">
        <v>42</v>
      </c>
      <c r="E89" s="32" t="s">
        <v>1219</v>
      </c>
      <c r="F89" s="32" t="s">
        <v>292</v>
      </c>
      <c r="G89" s="32" t="s">
        <v>185</v>
      </c>
      <c r="H89" s="32" t="s">
        <v>321</v>
      </c>
    </row>
    <row r="90" spans="1:33" ht="18" customHeight="1">
      <c r="A90" s="9" t="s">
        <v>93</v>
      </c>
      <c r="B90" s="9" t="s">
        <v>554</v>
      </c>
      <c r="C90" s="9" t="s">
        <v>876</v>
      </c>
      <c r="D90" s="9">
        <f>(900+700+679)*10^-4</f>
        <v>0.22790000000000002</v>
      </c>
      <c r="E90" s="33" t="s">
        <v>172</v>
      </c>
      <c r="F90" s="33">
        <f>중기기초자료!F9</f>
        <v>0</v>
      </c>
      <c r="G90" s="33">
        <f>TRUNC(F90*D90,0)</f>
        <v>0</v>
      </c>
      <c r="H90" s="9" t="s">
        <v>1297</v>
      </c>
      <c r="I90" s="9" t="s">
        <v>1297</v>
      </c>
      <c r="K90" s="9" t="s">
        <v>166</v>
      </c>
      <c r="L90" s="9" t="s">
        <v>1297</v>
      </c>
      <c r="M90" s="9" t="s">
        <v>1108</v>
      </c>
      <c r="N90" s="9" t="s">
        <v>1037</v>
      </c>
      <c r="AG90" s="34" t="str">
        <f>HYPERLINK("#6","G06020150 →")</f>
        <v>G06020150 →</v>
      </c>
    </row>
    <row r="91" spans="2:7" ht="18" customHeight="1">
      <c r="B91" s="9" t="s">
        <v>1098</v>
      </c>
      <c r="G91" s="33">
        <f>TRUNC(G90,0)</f>
        <v>0</v>
      </c>
    </row>
    <row r="92" spans="1:33" ht="18" customHeight="1">
      <c r="A92" s="9" t="s">
        <v>884</v>
      </c>
      <c r="B92" s="9" t="s">
        <v>221</v>
      </c>
      <c r="C92" s="9" t="s">
        <v>1297</v>
      </c>
      <c r="D92" s="9">
        <v>15.9</v>
      </c>
      <c r="E92" s="35" t="s">
        <v>1275</v>
      </c>
      <c r="F92" s="35">
        <f>중기기초자료!D26</f>
        <v>0</v>
      </c>
      <c r="G92" s="35">
        <f>TRUNC(F92*D92,2)</f>
        <v>0</v>
      </c>
      <c r="H92" s="9" t="s">
        <v>1297</v>
      </c>
      <c r="I92" s="9" t="s">
        <v>1297</v>
      </c>
      <c r="K92" s="9" t="s">
        <v>450</v>
      </c>
      <c r="L92" s="9" t="s">
        <v>1297</v>
      </c>
      <c r="M92" s="9" t="s">
        <v>262</v>
      </c>
      <c r="AG92" s="34" t="str">
        <f>HYPERLINK("#6","M9366005 →")</f>
        <v>M9366005 →</v>
      </c>
    </row>
    <row r="93" spans="2:33" ht="18" customHeight="1">
      <c r="B93" s="9" t="s">
        <v>103</v>
      </c>
      <c r="C93" s="9" t="s">
        <v>1297</v>
      </c>
      <c r="D93" s="9">
        <v>38</v>
      </c>
      <c r="E93" s="35" t="s">
        <v>522</v>
      </c>
      <c r="F93" s="35">
        <v>0</v>
      </c>
      <c r="G93" s="35">
        <f>TRUNC((G92)*D93/100,2)</f>
        <v>0</v>
      </c>
      <c r="H93" s="9" t="s">
        <v>1297</v>
      </c>
      <c r="I93" s="9" t="s">
        <v>1297</v>
      </c>
      <c r="K93" s="9" t="s">
        <v>139</v>
      </c>
      <c r="L93" s="9" t="s">
        <v>1297</v>
      </c>
      <c r="M93" s="9" t="s">
        <v>863</v>
      </c>
      <c r="N93" s="9" t="s">
        <v>1297</v>
      </c>
      <c r="AG93" s="34" t="str">
        <f>HYPERLINK("#6","F/M1 →")</f>
        <v>F/M1 →</v>
      </c>
    </row>
    <row r="94" spans="2:7" ht="18" customHeight="1">
      <c r="B94" s="9" t="s">
        <v>1098</v>
      </c>
      <c r="G94" s="35">
        <f>TRUNC(G92+G93,2)</f>
        <v>0</v>
      </c>
    </row>
    <row r="95" spans="1:33" ht="18" customHeight="1">
      <c r="A95" s="9" t="s">
        <v>506</v>
      </c>
      <c r="B95" s="9" t="s">
        <v>293</v>
      </c>
      <c r="C95" s="9" t="s">
        <v>715</v>
      </c>
      <c r="D95" s="9">
        <v>1</v>
      </c>
      <c r="E95" s="33" t="s">
        <v>764</v>
      </c>
      <c r="F95" s="33">
        <f>TRUNC(중기기초자료!E22*중기전역변수!C18,0)</f>
        <v>0</v>
      </c>
      <c r="G95" s="33">
        <f>TRUNC(F95*D95,0)</f>
        <v>0</v>
      </c>
      <c r="H95" s="9" t="s">
        <v>1297</v>
      </c>
      <c r="I95" s="9" t="s">
        <v>1297</v>
      </c>
      <c r="K95" s="9" t="s">
        <v>723</v>
      </c>
      <c r="L95" s="9" t="s">
        <v>1297</v>
      </c>
      <c r="M95" s="9" t="s">
        <v>735</v>
      </c>
      <c r="AG95" s="34" t="str">
        <f>HYPERLINK("#6","L086 →")</f>
        <v>L086 →</v>
      </c>
    </row>
    <row r="96" spans="2:7" ht="18" customHeight="1">
      <c r="B96" s="9" t="s">
        <v>1098</v>
      </c>
      <c r="G96" s="33">
        <f>TRUNC(G95,0)</f>
        <v>0</v>
      </c>
    </row>
    <row r="97" spans="2:7" ht="18" customHeight="1">
      <c r="B97" s="9" t="s">
        <v>135</v>
      </c>
      <c r="G97" s="35">
        <f>TRUNC(G91+G94+G96,2)</f>
        <v>0</v>
      </c>
    </row>
    <row r="98" spans="1:8" ht="18" customHeight="1">
      <c r="A98" s="4"/>
      <c r="B98" s="4"/>
      <c r="C98" s="4"/>
      <c r="D98" s="4"/>
      <c r="E98" s="4"/>
      <c r="F98" s="4"/>
      <c r="G98" s="4"/>
      <c r="H98" s="4"/>
    </row>
    <row r="99" spans="1:10" ht="18" customHeight="1">
      <c r="A99" s="4" t="s">
        <v>1149</v>
      </c>
      <c r="B99" s="4" t="s">
        <v>689</v>
      </c>
      <c r="C99" s="4"/>
      <c r="D99" s="4"/>
      <c r="E99" s="4"/>
      <c r="F99" s="4"/>
      <c r="G99" s="4"/>
      <c r="H99" s="4"/>
      <c r="I99" s="9" t="s">
        <v>1297</v>
      </c>
      <c r="J99" s="9" t="s">
        <v>1220</v>
      </c>
    </row>
    <row r="100" spans="1:8" ht="18" customHeight="1">
      <c r="A100" s="4" t="s">
        <v>338</v>
      </c>
      <c r="B100" s="4" t="s">
        <v>356</v>
      </c>
      <c r="C100" s="4"/>
      <c r="D100" s="4"/>
      <c r="E100" s="4"/>
      <c r="F100" s="4"/>
      <c r="G100" s="4"/>
      <c r="H100" s="4"/>
    </row>
    <row r="101" spans="1:8" ht="18" customHeight="1">
      <c r="A101" s="32" t="s">
        <v>976</v>
      </c>
      <c r="B101" s="32"/>
      <c r="C101" s="32" t="s">
        <v>621</v>
      </c>
      <c r="D101" s="32" t="s">
        <v>42</v>
      </c>
      <c r="E101" s="32" t="s">
        <v>1219</v>
      </c>
      <c r="F101" s="32" t="s">
        <v>292</v>
      </c>
      <c r="G101" s="32" t="s">
        <v>185</v>
      </c>
      <c r="H101" s="32" t="s">
        <v>321</v>
      </c>
    </row>
    <row r="102" spans="1:33" ht="18" customHeight="1">
      <c r="A102" s="9" t="s">
        <v>93</v>
      </c>
      <c r="B102" s="9" t="s">
        <v>696</v>
      </c>
      <c r="C102" s="9" t="s">
        <v>404</v>
      </c>
      <c r="D102" s="9">
        <f>(1286+857+682)*10^-4</f>
        <v>0.28250000000000003</v>
      </c>
      <c r="E102" s="33" t="s">
        <v>172</v>
      </c>
      <c r="F102" s="33">
        <f>중기기초자료!F10</f>
        <v>0</v>
      </c>
      <c r="G102" s="33">
        <f>TRUNC(F102*D102,0)</f>
        <v>0</v>
      </c>
      <c r="H102" s="9" t="s">
        <v>1297</v>
      </c>
      <c r="I102" s="9" t="s">
        <v>1297</v>
      </c>
      <c r="K102" s="9" t="s">
        <v>166</v>
      </c>
      <c r="L102" s="9" t="s">
        <v>1297</v>
      </c>
      <c r="M102" s="9" t="s">
        <v>205</v>
      </c>
      <c r="N102" s="9" t="s">
        <v>310</v>
      </c>
      <c r="AG102" s="34" t="str">
        <f>HYPERLINK("#6","G13050007 →")</f>
        <v>G13050007 →</v>
      </c>
    </row>
    <row r="103" spans="2:7" ht="18" customHeight="1">
      <c r="B103" s="9" t="s">
        <v>1098</v>
      </c>
      <c r="G103" s="33">
        <f>TRUNC(G102,0)</f>
        <v>0</v>
      </c>
    </row>
    <row r="104" spans="1:33" ht="18" customHeight="1">
      <c r="A104" s="9" t="s">
        <v>884</v>
      </c>
      <c r="B104" s="9" t="s">
        <v>221</v>
      </c>
      <c r="C104" s="9" t="s">
        <v>1297</v>
      </c>
      <c r="D104" s="9">
        <v>2.2</v>
      </c>
      <c r="E104" s="35" t="s">
        <v>1275</v>
      </c>
      <c r="F104" s="35">
        <f>중기기초자료!D26</f>
        <v>0</v>
      </c>
      <c r="G104" s="35">
        <f>TRUNC(F104*D104,2)</f>
        <v>0</v>
      </c>
      <c r="H104" s="9" t="s">
        <v>1297</v>
      </c>
      <c r="I104" s="9" t="s">
        <v>1297</v>
      </c>
      <c r="K104" s="9" t="s">
        <v>450</v>
      </c>
      <c r="L104" s="9" t="s">
        <v>1297</v>
      </c>
      <c r="M104" s="9" t="s">
        <v>262</v>
      </c>
      <c r="AG104" s="34" t="str">
        <f>HYPERLINK("#6","M9366005 →")</f>
        <v>M9366005 →</v>
      </c>
    </row>
    <row r="105" spans="2:33" ht="18" customHeight="1">
      <c r="B105" s="9" t="s">
        <v>103</v>
      </c>
      <c r="C105" s="9" t="s">
        <v>1297</v>
      </c>
      <c r="D105" s="9">
        <v>13</v>
      </c>
      <c r="E105" s="35" t="s">
        <v>522</v>
      </c>
      <c r="F105" s="35">
        <v>0</v>
      </c>
      <c r="G105" s="35">
        <f>TRUNC((G104)*D105/100,2)</f>
        <v>0</v>
      </c>
      <c r="H105" s="9" t="s">
        <v>1297</v>
      </c>
      <c r="I105" s="9" t="s">
        <v>1297</v>
      </c>
      <c r="K105" s="9" t="s">
        <v>139</v>
      </c>
      <c r="L105" s="9" t="s">
        <v>1297</v>
      </c>
      <c r="M105" s="9" t="s">
        <v>863</v>
      </c>
      <c r="N105" s="9" t="s">
        <v>1297</v>
      </c>
      <c r="AG105" s="34" t="str">
        <f>HYPERLINK("#6","F/M1 →")</f>
        <v>F/M1 →</v>
      </c>
    </row>
    <row r="106" spans="2:7" ht="18" customHeight="1">
      <c r="B106" s="9" t="s">
        <v>1098</v>
      </c>
      <c r="G106" s="35">
        <f>TRUNC(G104+G105,2)</f>
        <v>0</v>
      </c>
    </row>
    <row r="107" spans="1:33" ht="18" customHeight="1">
      <c r="A107" s="9" t="s">
        <v>506</v>
      </c>
      <c r="B107" s="9" t="s">
        <v>636</v>
      </c>
      <c r="C107" s="9" t="s">
        <v>673</v>
      </c>
      <c r="D107" s="9">
        <v>1</v>
      </c>
      <c r="E107" s="33" t="s">
        <v>764</v>
      </c>
      <c r="F107" s="33">
        <f>TRUNC(중기기초자료!E24*중기전역변수!C18,0)</f>
        <v>0</v>
      </c>
      <c r="G107" s="33">
        <f>TRUNC(F107*D107,0)</f>
        <v>0</v>
      </c>
      <c r="H107" s="9" t="s">
        <v>1297</v>
      </c>
      <c r="I107" s="9" t="s">
        <v>883</v>
      </c>
      <c r="K107" s="9" t="s">
        <v>723</v>
      </c>
      <c r="L107" s="9" t="s">
        <v>1297</v>
      </c>
      <c r="M107" s="9" t="s">
        <v>733</v>
      </c>
      <c r="AG107" s="34" t="str">
        <f>HYPERLINK("#6","L088 →")</f>
        <v>L088 →</v>
      </c>
    </row>
    <row r="108" spans="2:7" ht="18" customHeight="1">
      <c r="B108" s="9" t="s">
        <v>1098</v>
      </c>
      <c r="G108" s="33">
        <f>TRUNC(G107,0)</f>
        <v>0</v>
      </c>
    </row>
    <row r="109" spans="2:7" ht="18" customHeight="1">
      <c r="B109" s="9" t="s">
        <v>135</v>
      </c>
      <c r="G109" s="35">
        <f>TRUNC(G103+G106+G108,2)</f>
        <v>0</v>
      </c>
    </row>
    <row r="110" spans="1:8" ht="18" customHeight="1">
      <c r="A110" s="4"/>
      <c r="B110" s="4"/>
      <c r="C110" s="4"/>
      <c r="D110" s="4"/>
      <c r="E110" s="4"/>
      <c r="F110" s="4"/>
      <c r="G110" s="4"/>
      <c r="H110" s="4"/>
    </row>
    <row r="111" spans="1:10" ht="18" customHeight="1">
      <c r="A111" s="4" t="s">
        <v>1149</v>
      </c>
      <c r="B111" s="4" t="s">
        <v>119</v>
      </c>
      <c r="C111" s="4"/>
      <c r="D111" s="4"/>
      <c r="E111" s="4"/>
      <c r="F111" s="4"/>
      <c r="G111" s="4"/>
      <c r="H111" s="4"/>
      <c r="I111" s="9" t="s">
        <v>1297</v>
      </c>
      <c r="J111" s="9" t="s">
        <v>719</v>
      </c>
    </row>
    <row r="112" spans="1:8" ht="18" customHeight="1">
      <c r="A112" s="4" t="s">
        <v>338</v>
      </c>
      <c r="B112" s="4" t="s">
        <v>717</v>
      </c>
      <c r="C112" s="4"/>
      <c r="D112" s="4"/>
      <c r="E112" s="4"/>
      <c r="F112" s="4"/>
      <c r="G112" s="4"/>
      <c r="H112" s="4"/>
    </row>
    <row r="113" spans="1:8" ht="18" customHeight="1">
      <c r="A113" s="32" t="s">
        <v>976</v>
      </c>
      <c r="B113" s="32"/>
      <c r="C113" s="32" t="s">
        <v>621</v>
      </c>
      <c r="D113" s="32" t="s">
        <v>42</v>
      </c>
      <c r="E113" s="32" t="s">
        <v>1219</v>
      </c>
      <c r="F113" s="32" t="s">
        <v>292</v>
      </c>
      <c r="G113" s="32" t="s">
        <v>185</v>
      </c>
      <c r="H113" s="32" t="s">
        <v>321</v>
      </c>
    </row>
    <row r="114" spans="1:33" ht="18" customHeight="1">
      <c r="A114" s="9" t="s">
        <v>93</v>
      </c>
      <c r="B114" s="9" t="s">
        <v>1214</v>
      </c>
      <c r="C114" s="9" t="s">
        <v>336</v>
      </c>
      <c r="D114" s="9">
        <f>(1286+857+682)*10^-4</f>
        <v>0.28250000000000003</v>
      </c>
      <c r="E114" s="33" t="s">
        <v>172</v>
      </c>
      <c r="F114" s="33">
        <f>중기기초자료!F11</f>
        <v>0</v>
      </c>
      <c r="G114" s="33">
        <f>TRUNC(F114*D114,0)</f>
        <v>0</v>
      </c>
      <c r="H114" s="9" t="s">
        <v>1297</v>
      </c>
      <c r="I114" s="9" t="s">
        <v>1297</v>
      </c>
      <c r="K114" s="9" t="s">
        <v>166</v>
      </c>
      <c r="L114" s="9" t="s">
        <v>1297</v>
      </c>
      <c r="M114" s="9" t="s">
        <v>451</v>
      </c>
      <c r="N114" s="9" t="s">
        <v>310</v>
      </c>
      <c r="AG114" s="34" t="str">
        <f>HYPERLINK("#6","G13060025 →")</f>
        <v>G13060025 →</v>
      </c>
    </row>
    <row r="115" spans="2:7" ht="18" customHeight="1">
      <c r="B115" s="9" t="s">
        <v>1098</v>
      </c>
      <c r="G115" s="33">
        <f>TRUNC(G114,0)</f>
        <v>0</v>
      </c>
    </row>
    <row r="116" spans="1:33" ht="18" customHeight="1">
      <c r="A116" s="9" t="s">
        <v>884</v>
      </c>
      <c r="B116" s="9" t="s">
        <v>221</v>
      </c>
      <c r="C116" s="9" t="s">
        <v>1297</v>
      </c>
      <c r="D116" s="9">
        <v>2.3</v>
      </c>
      <c r="E116" s="35" t="s">
        <v>1275</v>
      </c>
      <c r="F116" s="35">
        <f>중기기초자료!D26</f>
        <v>0</v>
      </c>
      <c r="G116" s="35">
        <f>TRUNC(F116*D116,2)</f>
        <v>0</v>
      </c>
      <c r="H116" s="9" t="s">
        <v>1297</v>
      </c>
      <c r="I116" s="9" t="s">
        <v>1297</v>
      </c>
      <c r="K116" s="9" t="s">
        <v>450</v>
      </c>
      <c r="L116" s="9" t="s">
        <v>1297</v>
      </c>
      <c r="M116" s="9" t="s">
        <v>262</v>
      </c>
      <c r="AG116" s="34" t="str">
        <f>HYPERLINK("#6","M9366005 →")</f>
        <v>M9366005 →</v>
      </c>
    </row>
    <row r="117" spans="2:33" ht="18" customHeight="1">
      <c r="B117" s="9" t="s">
        <v>103</v>
      </c>
      <c r="C117" s="9" t="s">
        <v>1297</v>
      </c>
      <c r="D117" s="9">
        <v>13</v>
      </c>
      <c r="E117" s="35" t="s">
        <v>522</v>
      </c>
      <c r="F117" s="35">
        <v>0</v>
      </c>
      <c r="G117" s="35">
        <f>TRUNC((G116)*D117/100,2)</f>
        <v>0</v>
      </c>
      <c r="H117" s="9" t="s">
        <v>1297</v>
      </c>
      <c r="I117" s="9" t="s">
        <v>1297</v>
      </c>
      <c r="K117" s="9" t="s">
        <v>139</v>
      </c>
      <c r="L117" s="9" t="s">
        <v>1297</v>
      </c>
      <c r="M117" s="9" t="s">
        <v>863</v>
      </c>
      <c r="N117" s="9" t="s">
        <v>1297</v>
      </c>
      <c r="AG117" s="34" t="str">
        <f>HYPERLINK("#6","F/M1 →")</f>
        <v>F/M1 →</v>
      </c>
    </row>
    <row r="118" spans="2:7" ht="18" customHeight="1">
      <c r="B118" s="9" t="s">
        <v>1098</v>
      </c>
      <c r="G118" s="35">
        <f>TRUNC(G116+G117,2)</f>
        <v>0</v>
      </c>
    </row>
    <row r="119" spans="1:33" ht="18" customHeight="1">
      <c r="A119" s="9" t="s">
        <v>506</v>
      </c>
      <c r="B119" s="9" t="s">
        <v>293</v>
      </c>
      <c r="C119" s="9" t="s">
        <v>715</v>
      </c>
      <c r="D119" s="9">
        <v>1</v>
      </c>
      <c r="E119" s="33" t="s">
        <v>764</v>
      </c>
      <c r="F119" s="33">
        <f>TRUNC(중기기초자료!E22*중기전역변수!C18,0)</f>
        <v>0</v>
      </c>
      <c r="G119" s="33">
        <f>TRUNC(F119*D119,0)</f>
        <v>0</v>
      </c>
      <c r="H119" s="9" t="s">
        <v>1297</v>
      </c>
      <c r="I119" s="9" t="s">
        <v>1297</v>
      </c>
      <c r="K119" s="9" t="s">
        <v>723</v>
      </c>
      <c r="L119" s="9" t="s">
        <v>1297</v>
      </c>
      <c r="M119" s="9" t="s">
        <v>735</v>
      </c>
      <c r="AG119" s="34" t="str">
        <f>HYPERLINK("#6","L086 →")</f>
        <v>L086 →</v>
      </c>
    </row>
    <row r="120" spans="2:7" ht="18" customHeight="1">
      <c r="B120" s="9" t="s">
        <v>1098</v>
      </c>
      <c r="G120" s="33">
        <f>TRUNC(G119,0)</f>
        <v>0</v>
      </c>
    </row>
    <row r="121" spans="2:7" ht="18" customHeight="1">
      <c r="B121" s="9" t="s">
        <v>135</v>
      </c>
      <c r="G121" s="35">
        <f>TRUNC(G115+G118+G120,2)</f>
        <v>0</v>
      </c>
    </row>
    <row r="122" spans="1:8" ht="18" customHeight="1">
      <c r="A122" s="4"/>
      <c r="B122" s="4"/>
      <c r="C122" s="4"/>
      <c r="D122" s="4"/>
      <c r="E122" s="4"/>
      <c r="F122" s="4"/>
      <c r="G122" s="4"/>
      <c r="H122" s="4"/>
    </row>
    <row r="123" spans="1:10" ht="18" customHeight="1">
      <c r="A123" s="4" t="s">
        <v>1149</v>
      </c>
      <c r="B123" s="4" t="s">
        <v>1272</v>
      </c>
      <c r="C123" s="4"/>
      <c r="D123" s="4"/>
      <c r="E123" s="4"/>
      <c r="F123" s="4"/>
      <c r="G123" s="4"/>
      <c r="H123" s="4"/>
      <c r="I123" s="9" t="s">
        <v>1297</v>
      </c>
      <c r="J123" s="9" t="s">
        <v>301</v>
      </c>
    </row>
    <row r="124" spans="1:8" ht="18" customHeight="1">
      <c r="A124" s="4" t="s">
        <v>338</v>
      </c>
      <c r="B124" s="4" t="s">
        <v>604</v>
      </c>
      <c r="C124" s="4"/>
      <c r="D124" s="4"/>
      <c r="E124" s="4"/>
      <c r="F124" s="4"/>
      <c r="G124" s="4"/>
      <c r="H124" s="4"/>
    </row>
    <row r="125" spans="1:8" ht="18" customHeight="1">
      <c r="A125" s="32" t="s">
        <v>976</v>
      </c>
      <c r="B125" s="32"/>
      <c r="C125" s="32" t="s">
        <v>621</v>
      </c>
      <c r="D125" s="32" t="s">
        <v>42</v>
      </c>
      <c r="E125" s="32" t="s">
        <v>1219</v>
      </c>
      <c r="F125" s="32" t="s">
        <v>292</v>
      </c>
      <c r="G125" s="32" t="s">
        <v>185</v>
      </c>
      <c r="H125" s="32" t="s">
        <v>321</v>
      </c>
    </row>
    <row r="126" spans="1:33" ht="18" customHeight="1">
      <c r="A126" s="9" t="s">
        <v>93</v>
      </c>
      <c r="B126" s="9" t="s">
        <v>414</v>
      </c>
      <c r="C126" s="9" t="s">
        <v>128</v>
      </c>
      <c r="D126" s="9">
        <f>(1800+1200+708)*10^-4</f>
        <v>0.3708</v>
      </c>
      <c r="E126" s="33" t="s">
        <v>172</v>
      </c>
      <c r="F126" s="33">
        <f>중기기초자료!F12</f>
        <v>0</v>
      </c>
      <c r="G126" s="33">
        <f>TRUNC(F126*D126,0)</f>
        <v>0</v>
      </c>
      <c r="H126" s="9" t="s">
        <v>1297</v>
      </c>
      <c r="I126" s="9" t="s">
        <v>1297</v>
      </c>
      <c r="K126" s="9" t="s">
        <v>166</v>
      </c>
      <c r="L126" s="9" t="s">
        <v>1297</v>
      </c>
      <c r="M126" s="9" t="s">
        <v>1259</v>
      </c>
      <c r="N126" s="9" t="s">
        <v>171</v>
      </c>
      <c r="AG126" s="34" t="str">
        <f>HYPERLINK("#6","G16300080 →")</f>
        <v>G16300080 →</v>
      </c>
    </row>
    <row r="127" spans="2:7" ht="18" customHeight="1">
      <c r="B127" s="9" t="s">
        <v>1098</v>
      </c>
      <c r="G127" s="33">
        <f>TRUNC(G126,0)</f>
        <v>0</v>
      </c>
    </row>
    <row r="128" spans="1:33" ht="18" customHeight="1">
      <c r="A128" s="9" t="s">
        <v>884</v>
      </c>
      <c r="B128" s="9" t="s">
        <v>355</v>
      </c>
      <c r="C128" s="9" t="s">
        <v>1297</v>
      </c>
      <c r="D128" s="9">
        <v>0.7</v>
      </c>
      <c r="E128" s="35" t="s">
        <v>1275</v>
      </c>
      <c r="F128" s="35">
        <f>중기기초자료!D25</f>
        <v>0</v>
      </c>
      <c r="G128" s="35">
        <f>TRUNC(F128*D128,2)</f>
        <v>0</v>
      </c>
      <c r="H128" s="9" t="s">
        <v>1297</v>
      </c>
      <c r="I128" s="9" t="s">
        <v>1297</v>
      </c>
      <c r="K128" s="9" t="s">
        <v>450</v>
      </c>
      <c r="L128" s="9" t="s">
        <v>1297</v>
      </c>
      <c r="M128" s="9" t="s">
        <v>1099</v>
      </c>
      <c r="AG128" s="34" t="str">
        <f>HYPERLINK("#6","M9360003 →")</f>
        <v>M9360003 →</v>
      </c>
    </row>
    <row r="129" spans="2:33" ht="18" customHeight="1">
      <c r="B129" s="9" t="s">
        <v>103</v>
      </c>
      <c r="C129" s="9" t="s">
        <v>1297</v>
      </c>
      <c r="D129" s="9">
        <v>10</v>
      </c>
      <c r="E129" s="35" t="s">
        <v>522</v>
      </c>
      <c r="F129" s="35">
        <v>0</v>
      </c>
      <c r="G129" s="35">
        <f>TRUNC((G128)*D129/100,2)</f>
        <v>0</v>
      </c>
      <c r="H129" s="9" t="s">
        <v>1297</v>
      </c>
      <c r="I129" s="9" t="s">
        <v>1297</v>
      </c>
      <c r="K129" s="9" t="s">
        <v>139</v>
      </c>
      <c r="L129" s="9" t="s">
        <v>1297</v>
      </c>
      <c r="M129" s="9" t="s">
        <v>863</v>
      </c>
      <c r="N129" s="9" t="s">
        <v>1297</v>
      </c>
      <c r="AG129" s="34" t="str">
        <f>HYPERLINK("#6","F/M1 →")</f>
        <v>F/M1 →</v>
      </c>
    </row>
    <row r="130" spans="2:7" ht="18" customHeight="1">
      <c r="B130" s="9" t="s">
        <v>1098</v>
      </c>
      <c r="G130" s="35">
        <f>TRUNC(G128+G129,2)</f>
        <v>0</v>
      </c>
    </row>
    <row r="131" spans="1:33" ht="18" customHeight="1">
      <c r="A131" s="9" t="s">
        <v>506</v>
      </c>
      <c r="B131" s="9" t="s">
        <v>636</v>
      </c>
      <c r="C131" s="9" t="s">
        <v>303</v>
      </c>
      <c r="D131" s="9">
        <v>1</v>
      </c>
      <c r="E131" s="33" t="s">
        <v>764</v>
      </c>
      <c r="F131" s="33">
        <f>TRUNC(중기기초자료!E24*중기전역변수!C18,0)</f>
        <v>0</v>
      </c>
      <c r="G131" s="33">
        <f>TRUNC(F131*D131,0)</f>
        <v>0</v>
      </c>
      <c r="H131" s="9" t="s">
        <v>1297</v>
      </c>
      <c r="I131" s="9" t="s">
        <v>883</v>
      </c>
      <c r="K131" s="9" t="s">
        <v>723</v>
      </c>
      <c r="L131" s="9" t="s">
        <v>1297</v>
      </c>
      <c r="M131" s="9" t="s">
        <v>733</v>
      </c>
      <c r="AG131" s="34" t="str">
        <f>HYPERLINK("#6","L088 →")</f>
        <v>L088 →</v>
      </c>
    </row>
    <row r="132" spans="2:7" ht="18" customHeight="1">
      <c r="B132" s="9" t="s">
        <v>1098</v>
      </c>
      <c r="G132" s="33">
        <f>TRUNC(G131,0)</f>
        <v>0</v>
      </c>
    </row>
    <row r="133" spans="2:7" ht="18" customHeight="1">
      <c r="B133" s="9" t="s">
        <v>135</v>
      </c>
      <c r="G133" s="35">
        <f>TRUNC(G127+G130+G132,2)</f>
        <v>0</v>
      </c>
    </row>
    <row r="134" spans="1:8" ht="18" customHeight="1">
      <c r="A134" s="4"/>
      <c r="B134" s="4"/>
      <c r="C134" s="4"/>
      <c r="D134" s="4"/>
      <c r="E134" s="4"/>
      <c r="F134" s="4"/>
      <c r="G134" s="4"/>
      <c r="H134" s="4"/>
    </row>
    <row r="135" spans="1:10" ht="18" customHeight="1">
      <c r="A135" s="4" t="s">
        <v>1149</v>
      </c>
      <c r="B135" s="4" t="s">
        <v>1103</v>
      </c>
      <c r="C135" s="4"/>
      <c r="D135" s="4"/>
      <c r="E135" s="4"/>
      <c r="F135" s="4"/>
      <c r="G135" s="4"/>
      <c r="H135" s="4"/>
      <c r="I135" s="9" t="s">
        <v>1297</v>
      </c>
      <c r="J135" s="9" t="s">
        <v>386</v>
      </c>
    </row>
    <row r="136" spans="1:8" ht="18" customHeight="1">
      <c r="A136" s="4" t="s">
        <v>338</v>
      </c>
      <c r="B136" s="4" t="s">
        <v>826</v>
      </c>
      <c r="C136" s="4"/>
      <c r="D136" s="4"/>
      <c r="E136" s="4"/>
      <c r="F136" s="4"/>
      <c r="G136" s="4"/>
      <c r="H136" s="4"/>
    </row>
    <row r="137" spans="1:8" ht="18" customHeight="1">
      <c r="A137" s="32" t="s">
        <v>976</v>
      </c>
      <c r="B137" s="32"/>
      <c r="C137" s="32" t="s">
        <v>621</v>
      </c>
      <c r="D137" s="32" t="s">
        <v>42</v>
      </c>
      <c r="E137" s="32" t="s">
        <v>1219</v>
      </c>
      <c r="F137" s="32" t="s">
        <v>292</v>
      </c>
      <c r="G137" s="32" t="s">
        <v>185</v>
      </c>
      <c r="H137" s="32" t="s">
        <v>321</v>
      </c>
    </row>
    <row r="138" spans="1:33" ht="18" customHeight="1">
      <c r="A138" s="9" t="s">
        <v>93</v>
      </c>
      <c r="B138" s="9" t="s">
        <v>587</v>
      </c>
      <c r="C138" s="9" t="s">
        <v>1088</v>
      </c>
      <c r="D138" s="9">
        <f>(1800+1200+708)*10^-4</f>
        <v>0.3708</v>
      </c>
      <c r="E138" s="33" t="s">
        <v>172</v>
      </c>
      <c r="F138" s="33">
        <f>중기기초자료!F13</f>
        <v>0</v>
      </c>
      <c r="G138" s="33">
        <f>TRUNC(F138*D138,0)</f>
        <v>0</v>
      </c>
      <c r="H138" s="9" t="s">
        <v>1297</v>
      </c>
      <c r="I138" s="9" t="s">
        <v>1297</v>
      </c>
      <c r="K138" s="9" t="s">
        <v>166</v>
      </c>
      <c r="L138" s="9" t="s">
        <v>1297</v>
      </c>
      <c r="M138" s="9" t="s">
        <v>653</v>
      </c>
      <c r="N138" s="9" t="s">
        <v>171</v>
      </c>
      <c r="AG138" s="34" t="str">
        <f>HYPERLINK("#6","G17300015 →")</f>
        <v>G17300015 →</v>
      </c>
    </row>
    <row r="139" spans="2:7" ht="18" customHeight="1">
      <c r="B139" s="9" t="s">
        <v>1098</v>
      </c>
      <c r="G139" s="33">
        <f>TRUNC(G138,0)</f>
        <v>0</v>
      </c>
    </row>
    <row r="140" spans="1:33" ht="18" customHeight="1">
      <c r="A140" s="9" t="s">
        <v>884</v>
      </c>
      <c r="B140" s="9" t="s">
        <v>355</v>
      </c>
      <c r="C140" s="9" t="s">
        <v>1297</v>
      </c>
      <c r="D140" s="9">
        <v>1</v>
      </c>
      <c r="E140" s="35" t="s">
        <v>1275</v>
      </c>
      <c r="F140" s="35">
        <f>중기기초자료!D25</f>
        <v>0</v>
      </c>
      <c r="G140" s="35">
        <f>TRUNC(F140*D140,2)</f>
        <v>0</v>
      </c>
      <c r="H140" s="9" t="s">
        <v>1297</v>
      </c>
      <c r="I140" s="9" t="s">
        <v>1297</v>
      </c>
      <c r="K140" s="9" t="s">
        <v>450</v>
      </c>
      <c r="L140" s="9" t="s">
        <v>1297</v>
      </c>
      <c r="M140" s="9" t="s">
        <v>1099</v>
      </c>
      <c r="AG140" s="34" t="str">
        <f>HYPERLINK("#6","M9360003 →")</f>
        <v>M9360003 →</v>
      </c>
    </row>
    <row r="141" spans="2:33" ht="18" customHeight="1">
      <c r="B141" s="9" t="s">
        <v>103</v>
      </c>
      <c r="C141" s="9" t="s">
        <v>1297</v>
      </c>
      <c r="D141" s="9">
        <v>20</v>
      </c>
      <c r="E141" s="35" t="s">
        <v>522</v>
      </c>
      <c r="F141" s="35">
        <v>0</v>
      </c>
      <c r="G141" s="35">
        <f>TRUNC((G140)*D141/100,2)</f>
        <v>0</v>
      </c>
      <c r="H141" s="9" t="s">
        <v>1297</v>
      </c>
      <c r="I141" s="9" t="s">
        <v>1297</v>
      </c>
      <c r="K141" s="9" t="s">
        <v>139</v>
      </c>
      <c r="L141" s="9" t="s">
        <v>1297</v>
      </c>
      <c r="M141" s="9" t="s">
        <v>863</v>
      </c>
      <c r="N141" s="9" t="s">
        <v>1297</v>
      </c>
      <c r="AG141" s="34" t="str">
        <f>HYPERLINK("#6","F/M1 →")</f>
        <v>F/M1 →</v>
      </c>
    </row>
    <row r="142" spans="2:7" ht="18" customHeight="1">
      <c r="B142" s="9" t="s">
        <v>1098</v>
      </c>
      <c r="G142" s="35">
        <f>TRUNC(G140+G141,2)</f>
        <v>0</v>
      </c>
    </row>
    <row r="143" spans="1:33" ht="18" customHeight="1">
      <c r="A143" s="9" t="s">
        <v>506</v>
      </c>
      <c r="B143" s="9" t="s">
        <v>636</v>
      </c>
      <c r="C143" s="9" t="s">
        <v>303</v>
      </c>
      <c r="D143" s="9">
        <v>1</v>
      </c>
      <c r="E143" s="33" t="s">
        <v>764</v>
      </c>
      <c r="F143" s="33">
        <f>TRUNC(중기기초자료!E24*중기전역변수!C18,0)</f>
        <v>0</v>
      </c>
      <c r="G143" s="33">
        <f>TRUNC(F143*D143,0)</f>
        <v>0</v>
      </c>
      <c r="H143" s="9" t="s">
        <v>1297</v>
      </c>
      <c r="I143" s="9" t="s">
        <v>1297</v>
      </c>
      <c r="K143" s="9" t="s">
        <v>723</v>
      </c>
      <c r="L143" s="9" t="s">
        <v>1297</v>
      </c>
      <c r="M143" s="9" t="s">
        <v>733</v>
      </c>
      <c r="AG143" s="34" t="str">
        <f>HYPERLINK("#6","L088 →")</f>
        <v>L088 →</v>
      </c>
    </row>
    <row r="144" spans="2:7" ht="18" customHeight="1">
      <c r="B144" s="9" t="s">
        <v>1098</v>
      </c>
      <c r="G144" s="33">
        <f>TRUNC(G143,0)</f>
        <v>0</v>
      </c>
    </row>
    <row r="145" spans="2:7" ht="18" customHeight="1">
      <c r="B145" s="9" t="s">
        <v>135</v>
      </c>
      <c r="G145" s="35">
        <f>TRUNC(G139+G142+G144,2)</f>
        <v>0</v>
      </c>
    </row>
    <row r="146" spans="1:8" ht="18" customHeight="1">
      <c r="A146" s="4"/>
      <c r="B146" s="4"/>
      <c r="C146" s="4"/>
      <c r="D146" s="4"/>
      <c r="E146" s="4"/>
      <c r="F146" s="4"/>
      <c r="G146" s="4"/>
      <c r="H146" s="4"/>
    </row>
    <row r="147" spans="1:10" ht="18" customHeight="1">
      <c r="A147" s="4" t="s">
        <v>1149</v>
      </c>
      <c r="B147" s="4" t="s">
        <v>8</v>
      </c>
      <c r="C147" s="4"/>
      <c r="D147" s="4"/>
      <c r="E147" s="4"/>
      <c r="F147" s="4"/>
      <c r="G147" s="4"/>
      <c r="H147" s="4"/>
      <c r="I147" s="9" t="s">
        <v>1297</v>
      </c>
      <c r="J147" s="9" t="s">
        <v>46</v>
      </c>
    </row>
    <row r="148" spans="1:8" ht="18" customHeight="1">
      <c r="A148" s="4" t="s">
        <v>338</v>
      </c>
      <c r="B148" s="4" t="s">
        <v>1205</v>
      </c>
      <c r="C148" s="4"/>
      <c r="D148" s="4"/>
      <c r="E148" s="4"/>
      <c r="F148" s="4"/>
      <c r="G148" s="4"/>
      <c r="H148" s="4"/>
    </row>
    <row r="149" spans="1:8" ht="18" customHeight="1">
      <c r="A149" s="32" t="s">
        <v>976</v>
      </c>
      <c r="B149" s="32"/>
      <c r="C149" s="32" t="s">
        <v>621</v>
      </c>
      <c r="D149" s="32" t="s">
        <v>42</v>
      </c>
      <c r="E149" s="32" t="s">
        <v>1219</v>
      </c>
      <c r="F149" s="32" t="s">
        <v>292</v>
      </c>
      <c r="G149" s="32" t="s">
        <v>185</v>
      </c>
      <c r="H149" s="32" t="s">
        <v>321</v>
      </c>
    </row>
    <row r="150" spans="1:33" ht="18" customHeight="1">
      <c r="A150" s="9" t="s">
        <v>93</v>
      </c>
      <c r="B150" s="9" t="s">
        <v>436</v>
      </c>
      <c r="C150" s="9" t="s">
        <v>149</v>
      </c>
      <c r="D150" s="9">
        <f>(1286+357+955)*10^-4</f>
        <v>0.25980000000000003</v>
      </c>
      <c r="E150" s="33" t="s">
        <v>172</v>
      </c>
      <c r="F150" s="33">
        <f>중기기초자료!F14</f>
        <v>0</v>
      </c>
      <c r="G150" s="33">
        <f>TRUNC(F150*D150,0)</f>
        <v>0</v>
      </c>
      <c r="H150" s="9" t="s">
        <v>1297</v>
      </c>
      <c r="I150" s="9" t="s">
        <v>1297</v>
      </c>
      <c r="K150" s="9" t="s">
        <v>166</v>
      </c>
      <c r="L150" s="9" t="s">
        <v>1297</v>
      </c>
      <c r="M150" s="9" t="s">
        <v>959</v>
      </c>
      <c r="N150" s="9" t="s">
        <v>1274</v>
      </c>
      <c r="AG150" s="34" t="str">
        <f>HYPERLINK("#6","G21050005 →")</f>
        <v>G21050005 →</v>
      </c>
    </row>
    <row r="151" spans="2:7" ht="18" customHeight="1">
      <c r="B151" s="9" t="s">
        <v>1098</v>
      </c>
      <c r="G151" s="33">
        <f>TRUNC(G150,0)</f>
        <v>0</v>
      </c>
    </row>
    <row r="152" spans="1:33" ht="18" customHeight="1">
      <c r="A152" s="9" t="s">
        <v>884</v>
      </c>
      <c r="B152" s="9" t="s">
        <v>221</v>
      </c>
      <c r="C152" s="9" t="s">
        <v>1297</v>
      </c>
      <c r="D152" s="9">
        <v>5.1</v>
      </c>
      <c r="E152" s="35" t="s">
        <v>1275</v>
      </c>
      <c r="F152" s="35">
        <f>중기기초자료!D26</f>
        <v>0</v>
      </c>
      <c r="G152" s="35">
        <f>TRUNC(F152*D152,2)</f>
        <v>0</v>
      </c>
      <c r="H152" s="9" t="s">
        <v>1297</v>
      </c>
      <c r="I152" s="9" t="s">
        <v>1297</v>
      </c>
      <c r="K152" s="9" t="s">
        <v>450</v>
      </c>
      <c r="L152" s="9" t="s">
        <v>1297</v>
      </c>
      <c r="M152" s="9" t="s">
        <v>262</v>
      </c>
      <c r="AG152" s="34" t="str">
        <f>HYPERLINK("#6","M9366005 →")</f>
        <v>M9366005 →</v>
      </c>
    </row>
    <row r="153" spans="2:33" ht="18" customHeight="1">
      <c r="B153" s="9" t="s">
        <v>103</v>
      </c>
      <c r="C153" s="9" t="s">
        <v>1297</v>
      </c>
      <c r="D153" s="9">
        <v>20</v>
      </c>
      <c r="E153" s="35" t="s">
        <v>522</v>
      </c>
      <c r="F153" s="35">
        <v>0</v>
      </c>
      <c r="G153" s="35">
        <f>TRUNC((G152)*D153/100,2)</f>
        <v>0</v>
      </c>
      <c r="H153" s="9" t="s">
        <v>1297</v>
      </c>
      <c r="I153" s="9" t="s">
        <v>1297</v>
      </c>
      <c r="K153" s="9" t="s">
        <v>139</v>
      </c>
      <c r="L153" s="9" t="s">
        <v>1297</v>
      </c>
      <c r="M153" s="9" t="s">
        <v>863</v>
      </c>
      <c r="N153" s="9" t="s">
        <v>1297</v>
      </c>
      <c r="AG153" s="34" t="str">
        <f>HYPERLINK("#6","F/M1 →")</f>
        <v>F/M1 →</v>
      </c>
    </row>
    <row r="154" spans="2:7" ht="18" customHeight="1">
      <c r="B154" s="9" t="s">
        <v>1098</v>
      </c>
      <c r="G154" s="35">
        <f>TRUNC(G152+G153,2)</f>
        <v>0</v>
      </c>
    </row>
    <row r="155" spans="1:33" ht="18" customHeight="1">
      <c r="A155" s="9" t="s">
        <v>506</v>
      </c>
      <c r="B155" s="9" t="s">
        <v>98</v>
      </c>
      <c r="C155" s="9" t="s">
        <v>713</v>
      </c>
      <c r="D155" s="9">
        <v>1</v>
      </c>
      <c r="E155" s="33" t="s">
        <v>764</v>
      </c>
      <c r="F155" s="33">
        <f>TRUNC(중기기초자료!E23*중기전역변수!C18,0)</f>
        <v>0</v>
      </c>
      <c r="G155" s="33">
        <f>TRUNC(F155*D155,0)</f>
        <v>0</v>
      </c>
      <c r="H155" s="9" t="s">
        <v>1297</v>
      </c>
      <c r="I155" s="9" t="s">
        <v>1297</v>
      </c>
      <c r="K155" s="9" t="s">
        <v>723</v>
      </c>
      <c r="L155" s="9" t="s">
        <v>1297</v>
      </c>
      <c r="M155" s="9" t="s">
        <v>14</v>
      </c>
      <c r="AG155" s="34" t="str">
        <f>HYPERLINK("#6","L087 →")</f>
        <v>L087 →</v>
      </c>
    </row>
    <row r="156" spans="2:7" ht="18" customHeight="1">
      <c r="B156" s="9" t="s">
        <v>1098</v>
      </c>
      <c r="G156" s="33">
        <f>TRUNC(G155,0)</f>
        <v>0</v>
      </c>
    </row>
    <row r="157" spans="2:7" ht="18" customHeight="1">
      <c r="B157" s="9" t="s">
        <v>135</v>
      </c>
      <c r="G157" s="35">
        <f>TRUNC(G151+G154+G156,2)</f>
        <v>0</v>
      </c>
    </row>
    <row r="158" spans="1:8" ht="18" customHeight="1">
      <c r="A158" s="4"/>
      <c r="B158" s="4"/>
      <c r="C158" s="4"/>
      <c r="D158" s="4"/>
      <c r="E158" s="4"/>
      <c r="F158" s="4"/>
      <c r="G158" s="4"/>
      <c r="H158" s="4"/>
    </row>
    <row r="159" spans="1:10" ht="18" customHeight="1">
      <c r="A159" s="4" t="s">
        <v>1149</v>
      </c>
      <c r="B159" s="4" t="s">
        <v>177</v>
      </c>
      <c r="C159" s="4"/>
      <c r="D159" s="4"/>
      <c r="E159" s="4"/>
      <c r="F159" s="4"/>
      <c r="G159" s="4"/>
      <c r="H159" s="4"/>
      <c r="I159" s="9" t="s">
        <v>1297</v>
      </c>
      <c r="J159" s="9" t="s">
        <v>982</v>
      </c>
    </row>
    <row r="160" spans="1:8" ht="18" customHeight="1">
      <c r="A160" s="4" t="s">
        <v>338</v>
      </c>
      <c r="B160" s="4" t="s">
        <v>591</v>
      </c>
      <c r="C160" s="4"/>
      <c r="D160" s="4"/>
      <c r="E160" s="4"/>
      <c r="F160" s="4"/>
      <c r="G160" s="4"/>
      <c r="H160" s="4"/>
    </row>
    <row r="161" spans="1:8" ht="18" customHeight="1">
      <c r="A161" s="32" t="s">
        <v>976</v>
      </c>
      <c r="B161" s="32"/>
      <c r="C161" s="32" t="s">
        <v>621</v>
      </c>
      <c r="D161" s="32" t="s">
        <v>42</v>
      </c>
      <c r="E161" s="32" t="s">
        <v>1219</v>
      </c>
      <c r="F161" s="32" t="s">
        <v>292</v>
      </c>
      <c r="G161" s="32" t="s">
        <v>185</v>
      </c>
      <c r="H161" s="32" t="s">
        <v>321</v>
      </c>
    </row>
    <row r="162" spans="1:33" ht="18" customHeight="1">
      <c r="A162" s="9" t="s">
        <v>93</v>
      </c>
      <c r="B162" s="9" t="s">
        <v>586</v>
      </c>
      <c r="C162" s="9" t="s">
        <v>1116</v>
      </c>
      <c r="D162" s="9">
        <f>(1286+357+955)*10^-4</f>
        <v>0.25980000000000003</v>
      </c>
      <c r="E162" s="33" t="s">
        <v>172</v>
      </c>
      <c r="F162" s="33">
        <f>중기기초자료!F15</f>
        <v>0</v>
      </c>
      <c r="G162" s="33">
        <f>TRUNC(F162*D162,0)</f>
        <v>0</v>
      </c>
      <c r="H162" s="9" t="s">
        <v>1297</v>
      </c>
      <c r="I162" s="9" t="s">
        <v>1297</v>
      </c>
      <c r="K162" s="9" t="s">
        <v>166</v>
      </c>
      <c r="L162" s="9" t="s">
        <v>1297</v>
      </c>
      <c r="M162" s="9" t="s">
        <v>61</v>
      </c>
      <c r="N162" s="9" t="s">
        <v>1274</v>
      </c>
      <c r="AG162" s="34" t="str">
        <f>HYPERLINK("#6","G21050010 →")</f>
        <v>G21050010 →</v>
      </c>
    </row>
    <row r="163" spans="2:7" ht="18" customHeight="1">
      <c r="B163" s="9" t="s">
        <v>1098</v>
      </c>
      <c r="G163" s="33">
        <f>TRUNC(G162,0)</f>
        <v>0</v>
      </c>
    </row>
    <row r="164" spans="1:33" ht="18" customHeight="1">
      <c r="A164" s="9" t="s">
        <v>884</v>
      </c>
      <c r="B164" s="9" t="s">
        <v>221</v>
      </c>
      <c r="C164" s="9" t="s">
        <v>1297</v>
      </c>
      <c r="D164" s="9">
        <v>10.3</v>
      </c>
      <c r="E164" s="35" t="s">
        <v>1275</v>
      </c>
      <c r="F164" s="35">
        <f>중기기초자료!D26</f>
        <v>0</v>
      </c>
      <c r="G164" s="35">
        <f>TRUNC(F164*D164,2)</f>
        <v>0</v>
      </c>
      <c r="H164" s="9" t="s">
        <v>1297</v>
      </c>
      <c r="I164" s="9" t="s">
        <v>1297</v>
      </c>
      <c r="K164" s="9" t="s">
        <v>450</v>
      </c>
      <c r="L164" s="9" t="s">
        <v>1297</v>
      </c>
      <c r="M164" s="9" t="s">
        <v>262</v>
      </c>
      <c r="AG164" s="34" t="str">
        <f>HYPERLINK("#6","M9366005 →")</f>
        <v>M9366005 →</v>
      </c>
    </row>
    <row r="165" spans="2:33" ht="18" customHeight="1">
      <c r="B165" s="9" t="s">
        <v>103</v>
      </c>
      <c r="C165" s="9" t="s">
        <v>1297</v>
      </c>
      <c r="D165" s="9">
        <v>20</v>
      </c>
      <c r="E165" s="35" t="s">
        <v>522</v>
      </c>
      <c r="F165" s="35">
        <v>0</v>
      </c>
      <c r="G165" s="35">
        <f>TRUNC((G164)*D165/100,2)</f>
        <v>0</v>
      </c>
      <c r="H165" s="9" t="s">
        <v>1297</v>
      </c>
      <c r="I165" s="9" t="s">
        <v>1297</v>
      </c>
      <c r="K165" s="9" t="s">
        <v>139</v>
      </c>
      <c r="L165" s="9" t="s">
        <v>1297</v>
      </c>
      <c r="M165" s="9" t="s">
        <v>863</v>
      </c>
      <c r="N165" s="9" t="s">
        <v>1297</v>
      </c>
      <c r="AG165" s="34" t="str">
        <f>HYPERLINK("#6","F/M1 →")</f>
        <v>F/M1 →</v>
      </c>
    </row>
    <row r="166" spans="2:7" ht="18" customHeight="1">
      <c r="B166" s="9" t="s">
        <v>1098</v>
      </c>
      <c r="G166" s="35">
        <f>TRUNC(G164+G165,2)</f>
        <v>0</v>
      </c>
    </row>
    <row r="167" spans="1:33" ht="18" customHeight="1">
      <c r="A167" s="9" t="s">
        <v>506</v>
      </c>
      <c r="B167" s="9" t="s">
        <v>98</v>
      </c>
      <c r="C167" s="9" t="s">
        <v>713</v>
      </c>
      <c r="D167" s="9">
        <v>1</v>
      </c>
      <c r="E167" s="33" t="s">
        <v>764</v>
      </c>
      <c r="F167" s="33">
        <f>TRUNC(중기기초자료!E23*중기전역변수!C18,0)</f>
        <v>0</v>
      </c>
      <c r="G167" s="33">
        <f>TRUNC(F167*D167,0)</f>
        <v>0</v>
      </c>
      <c r="H167" s="9" t="s">
        <v>1297</v>
      </c>
      <c r="I167" s="9" t="s">
        <v>1297</v>
      </c>
      <c r="K167" s="9" t="s">
        <v>723</v>
      </c>
      <c r="L167" s="9" t="s">
        <v>1297</v>
      </c>
      <c r="M167" s="9" t="s">
        <v>14</v>
      </c>
      <c r="AG167" s="34" t="str">
        <f>HYPERLINK("#6","L087 →")</f>
        <v>L087 →</v>
      </c>
    </row>
    <row r="168" spans="2:7" ht="18" customHeight="1">
      <c r="B168" s="9" t="s">
        <v>1098</v>
      </c>
      <c r="G168" s="33">
        <f>TRUNC(G167,0)</f>
        <v>0</v>
      </c>
    </row>
    <row r="169" spans="2:7" ht="18" customHeight="1">
      <c r="B169" s="9" t="s">
        <v>135</v>
      </c>
      <c r="G169" s="35">
        <f>TRUNC(G163+G166+G168,2)</f>
        <v>0</v>
      </c>
    </row>
    <row r="170" spans="1:8" ht="18" customHeight="1">
      <c r="A170" s="4"/>
      <c r="B170" s="4"/>
      <c r="C170" s="4"/>
      <c r="D170" s="4"/>
      <c r="E170" s="4"/>
      <c r="F170" s="4"/>
      <c r="G170" s="4"/>
      <c r="H170" s="4"/>
    </row>
    <row r="171" spans="1:10" ht="18" customHeight="1">
      <c r="A171" s="4" t="s">
        <v>1149</v>
      </c>
      <c r="B171" s="4" t="s">
        <v>364</v>
      </c>
      <c r="C171" s="4"/>
      <c r="D171" s="4"/>
      <c r="E171" s="4"/>
      <c r="F171" s="4"/>
      <c r="G171" s="4"/>
      <c r="H171" s="4"/>
      <c r="I171" s="9" t="s">
        <v>1297</v>
      </c>
      <c r="J171" s="9" t="s">
        <v>956</v>
      </c>
    </row>
    <row r="172" spans="1:8" ht="18" customHeight="1">
      <c r="A172" s="4" t="s">
        <v>338</v>
      </c>
      <c r="B172" s="4" t="s">
        <v>690</v>
      </c>
      <c r="C172" s="4"/>
      <c r="D172" s="4"/>
      <c r="E172" s="4"/>
      <c r="F172" s="4"/>
      <c r="G172" s="4"/>
      <c r="H172" s="4"/>
    </row>
    <row r="173" spans="1:8" ht="18" customHeight="1">
      <c r="A173" s="32" t="s">
        <v>976</v>
      </c>
      <c r="B173" s="32"/>
      <c r="C173" s="32" t="s">
        <v>621</v>
      </c>
      <c r="D173" s="32" t="s">
        <v>42</v>
      </c>
      <c r="E173" s="32" t="s">
        <v>1219</v>
      </c>
      <c r="F173" s="32" t="s">
        <v>292</v>
      </c>
      <c r="G173" s="32" t="s">
        <v>185</v>
      </c>
      <c r="H173" s="32" t="s">
        <v>321</v>
      </c>
    </row>
    <row r="174" spans="1:33" ht="18" customHeight="1">
      <c r="A174" s="9" t="s">
        <v>93</v>
      </c>
      <c r="B174" s="9" t="s">
        <v>861</v>
      </c>
      <c r="C174" s="9" t="s">
        <v>149</v>
      </c>
      <c r="D174" s="9">
        <f>(857+190+453)*10^-4</f>
        <v>0.15</v>
      </c>
      <c r="E174" s="33" t="s">
        <v>172</v>
      </c>
      <c r="F174" s="33">
        <f>중기기초자료!F16</f>
        <v>0</v>
      </c>
      <c r="G174" s="33">
        <f>TRUNC(F174*D174,0)</f>
        <v>0</v>
      </c>
      <c r="H174" s="9" t="s">
        <v>1297</v>
      </c>
      <c r="I174" s="9" t="s">
        <v>1297</v>
      </c>
      <c r="K174" s="9" t="s">
        <v>166</v>
      </c>
      <c r="L174" s="9" t="s">
        <v>1297</v>
      </c>
      <c r="M174" s="9" t="s">
        <v>52</v>
      </c>
      <c r="N174" s="9" t="s">
        <v>66</v>
      </c>
      <c r="AG174" s="34" t="str">
        <f>HYPERLINK("#6","G25020050 →")</f>
        <v>G25020050 →</v>
      </c>
    </row>
    <row r="175" spans="2:7" ht="18" customHeight="1">
      <c r="B175" s="9" t="s">
        <v>1098</v>
      </c>
      <c r="G175" s="33">
        <f>TRUNC(G174,0)</f>
        <v>0</v>
      </c>
    </row>
    <row r="176" spans="1:33" ht="18" customHeight="1">
      <c r="A176" s="9" t="s">
        <v>884</v>
      </c>
      <c r="B176" s="9" t="s">
        <v>221</v>
      </c>
      <c r="C176" s="9" t="s">
        <v>1297</v>
      </c>
      <c r="D176" s="9">
        <v>5.7</v>
      </c>
      <c r="E176" s="35" t="s">
        <v>1275</v>
      </c>
      <c r="F176" s="35">
        <f>중기기초자료!D26</f>
        <v>0</v>
      </c>
      <c r="G176" s="35">
        <f>TRUNC(F176*D176,2)</f>
        <v>0</v>
      </c>
      <c r="H176" s="9" t="s">
        <v>1297</v>
      </c>
      <c r="I176" s="9" t="s">
        <v>1297</v>
      </c>
      <c r="K176" s="9" t="s">
        <v>450</v>
      </c>
      <c r="L176" s="9" t="s">
        <v>1297</v>
      </c>
      <c r="M176" s="9" t="s">
        <v>262</v>
      </c>
      <c r="AG176" s="34" t="str">
        <f>HYPERLINK("#6","M9366005 →")</f>
        <v>M9366005 →</v>
      </c>
    </row>
    <row r="177" spans="2:33" ht="18" customHeight="1">
      <c r="B177" s="9" t="s">
        <v>103</v>
      </c>
      <c r="C177" s="9" t="s">
        <v>1297</v>
      </c>
      <c r="D177" s="9">
        <v>37</v>
      </c>
      <c r="E177" s="35" t="s">
        <v>522</v>
      </c>
      <c r="F177" s="35">
        <v>0</v>
      </c>
      <c r="G177" s="35">
        <f>TRUNC((G176)*D177/100,2)</f>
        <v>0</v>
      </c>
      <c r="H177" s="9" t="s">
        <v>1297</v>
      </c>
      <c r="I177" s="9" t="s">
        <v>1297</v>
      </c>
      <c r="K177" s="9" t="s">
        <v>139</v>
      </c>
      <c r="L177" s="9" t="s">
        <v>1297</v>
      </c>
      <c r="M177" s="9" t="s">
        <v>863</v>
      </c>
      <c r="N177" s="9" t="s">
        <v>1297</v>
      </c>
      <c r="AG177" s="34" t="str">
        <f>HYPERLINK("#6","F/M1 →")</f>
        <v>F/M1 →</v>
      </c>
    </row>
    <row r="178" spans="2:7" ht="18" customHeight="1">
      <c r="B178" s="9" t="s">
        <v>1098</v>
      </c>
      <c r="G178" s="35">
        <f>TRUNC(G176+G177,2)</f>
        <v>0</v>
      </c>
    </row>
    <row r="179" spans="1:33" ht="18" customHeight="1">
      <c r="A179" s="9" t="s">
        <v>506</v>
      </c>
      <c r="B179" s="9" t="s">
        <v>293</v>
      </c>
      <c r="C179" s="9" t="s">
        <v>715</v>
      </c>
      <c r="D179" s="9">
        <v>1</v>
      </c>
      <c r="E179" s="33" t="s">
        <v>764</v>
      </c>
      <c r="F179" s="33">
        <f>TRUNC(중기기초자료!E22*중기전역변수!C18,0)</f>
        <v>0</v>
      </c>
      <c r="G179" s="33">
        <f>TRUNC(F179*D179,0)</f>
        <v>0</v>
      </c>
      <c r="H179" s="9" t="s">
        <v>1297</v>
      </c>
      <c r="I179" s="9" t="s">
        <v>1297</v>
      </c>
      <c r="K179" s="9" t="s">
        <v>723</v>
      </c>
      <c r="L179" s="9" t="s">
        <v>1297</v>
      </c>
      <c r="M179" s="9" t="s">
        <v>735</v>
      </c>
      <c r="AG179" s="34" t="str">
        <f>HYPERLINK("#6","L086 →")</f>
        <v>L086 →</v>
      </c>
    </row>
    <row r="180" spans="2:7" ht="18" customHeight="1">
      <c r="B180" s="9" t="s">
        <v>1098</v>
      </c>
      <c r="G180" s="33">
        <f>TRUNC(G179,0)</f>
        <v>0</v>
      </c>
    </row>
    <row r="181" spans="2:7" ht="18" customHeight="1">
      <c r="B181" s="9" t="s">
        <v>135</v>
      </c>
      <c r="G181" s="35">
        <f>TRUNC(G175+G178+G180,2)</f>
        <v>0</v>
      </c>
    </row>
    <row r="182" spans="1:8" ht="18" customHeight="1">
      <c r="A182" s="4"/>
      <c r="B182" s="4"/>
      <c r="C182" s="4"/>
      <c r="D182" s="4"/>
      <c r="E182" s="4"/>
      <c r="F182" s="4"/>
      <c r="G182" s="4"/>
      <c r="H182" s="4"/>
    </row>
    <row r="183" spans="1:10" ht="18" customHeight="1">
      <c r="A183" s="4" t="s">
        <v>1149</v>
      </c>
      <c r="B183" s="4" t="s">
        <v>1158</v>
      </c>
      <c r="C183" s="4"/>
      <c r="D183" s="4"/>
      <c r="E183" s="4"/>
      <c r="F183" s="4"/>
      <c r="G183" s="4"/>
      <c r="H183" s="4"/>
      <c r="I183" s="9" t="s">
        <v>1297</v>
      </c>
      <c r="J183" s="9" t="s">
        <v>251</v>
      </c>
    </row>
    <row r="184" spans="1:8" ht="18" customHeight="1">
      <c r="A184" s="4" t="s">
        <v>338</v>
      </c>
      <c r="B184" s="4" t="s">
        <v>291</v>
      </c>
      <c r="C184" s="4"/>
      <c r="D184" s="4"/>
      <c r="E184" s="4"/>
      <c r="F184" s="4"/>
      <c r="G184" s="4"/>
      <c r="H184" s="4"/>
    </row>
    <row r="185" spans="1:8" ht="18" customHeight="1">
      <c r="A185" s="32" t="s">
        <v>976</v>
      </c>
      <c r="B185" s="32"/>
      <c r="C185" s="32" t="s">
        <v>621</v>
      </c>
      <c r="D185" s="32" t="s">
        <v>42</v>
      </c>
      <c r="E185" s="32" t="s">
        <v>1219</v>
      </c>
      <c r="F185" s="32" t="s">
        <v>292</v>
      </c>
      <c r="G185" s="32" t="s">
        <v>185</v>
      </c>
      <c r="H185" s="32" t="s">
        <v>321</v>
      </c>
    </row>
    <row r="186" spans="1:33" ht="18" customHeight="1">
      <c r="A186" s="9" t="s">
        <v>93</v>
      </c>
      <c r="B186" s="9" t="s">
        <v>1041</v>
      </c>
      <c r="C186" s="9" t="s">
        <v>571</v>
      </c>
      <c r="D186" s="9">
        <f>(1286+786+504)*10^-4</f>
        <v>0.2576</v>
      </c>
      <c r="E186" s="33" t="s">
        <v>172</v>
      </c>
      <c r="F186" s="33">
        <f>중기기초자료!F17</f>
        <v>0</v>
      </c>
      <c r="G186" s="33">
        <f>TRUNC(F186*D186,0)</f>
        <v>0</v>
      </c>
      <c r="H186" s="9" t="s">
        <v>1297</v>
      </c>
      <c r="I186" s="9" t="s">
        <v>1297</v>
      </c>
      <c r="K186" s="9" t="s">
        <v>166</v>
      </c>
      <c r="L186" s="9" t="s">
        <v>1297</v>
      </c>
      <c r="M186" s="9" t="s">
        <v>1159</v>
      </c>
      <c r="N186" s="9" t="s">
        <v>101</v>
      </c>
      <c r="AG186" s="34" t="str">
        <f>HYPERLINK("#6","G27020020 →")</f>
        <v>G27020020 →</v>
      </c>
    </row>
    <row r="187" spans="2:7" ht="18" customHeight="1">
      <c r="B187" s="9" t="s">
        <v>1098</v>
      </c>
      <c r="G187" s="33">
        <f>TRUNC(G186,0)</f>
        <v>0</v>
      </c>
    </row>
    <row r="188" spans="1:33" ht="18" customHeight="1">
      <c r="A188" s="9" t="s">
        <v>884</v>
      </c>
      <c r="B188" s="9" t="s">
        <v>221</v>
      </c>
      <c r="C188" s="9" t="s">
        <v>1297</v>
      </c>
      <c r="D188" s="9">
        <v>16.5</v>
      </c>
      <c r="E188" s="35" t="s">
        <v>1275</v>
      </c>
      <c r="F188" s="35">
        <f>중기기초자료!D26</f>
        <v>0</v>
      </c>
      <c r="G188" s="35">
        <f>TRUNC(F188*D188,2)</f>
        <v>0</v>
      </c>
      <c r="H188" s="9" t="s">
        <v>1297</v>
      </c>
      <c r="I188" s="9" t="s">
        <v>1297</v>
      </c>
      <c r="K188" s="9" t="s">
        <v>450</v>
      </c>
      <c r="L188" s="9" t="s">
        <v>1297</v>
      </c>
      <c r="M188" s="9" t="s">
        <v>262</v>
      </c>
      <c r="AG188" s="34" t="str">
        <f>HYPERLINK("#6","M9366005 →")</f>
        <v>M9366005 →</v>
      </c>
    </row>
    <row r="189" spans="2:33" ht="18" customHeight="1">
      <c r="B189" s="9" t="s">
        <v>103</v>
      </c>
      <c r="C189" s="9" t="s">
        <v>1297</v>
      </c>
      <c r="D189" s="9">
        <v>39</v>
      </c>
      <c r="E189" s="35" t="s">
        <v>522</v>
      </c>
      <c r="F189" s="35">
        <v>0</v>
      </c>
      <c r="G189" s="35">
        <f>TRUNC((G188)*D189/100,2)</f>
        <v>0</v>
      </c>
      <c r="H189" s="9" t="s">
        <v>1297</v>
      </c>
      <c r="I189" s="9" t="s">
        <v>1297</v>
      </c>
      <c r="K189" s="9" t="s">
        <v>139</v>
      </c>
      <c r="L189" s="9" t="s">
        <v>1297</v>
      </c>
      <c r="M189" s="9" t="s">
        <v>863</v>
      </c>
      <c r="N189" s="9" t="s">
        <v>1297</v>
      </c>
      <c r="AG189" s="34" t="str">
        <f>HYPERLINK("#6","F/M1 →")</f>
        <v>F/M1 →</v>
      </c>
    </row>
    <row r="190" spans="2:7" ht="18" customHeight="1">
      <c r="B190" s="9" t="s">
        <v>1098</v>
      </c>
      <c r="G190" s="35">
        <f>TRUNC(G188+G189,2)</f>
        <v>0</v>
      </c>
    </row>
    <row r="191" spans="1:33" ht="18" customHeight="1">
      <c r="A191" s="9" t="s">
        <v>506</v>
      </c>
      <c r="B191" s="9" t="s">
        <v>293</v>
      </c>
      <c r="C191" s="9" t="s">
        <v>715</v>
      </c>
      <c r="D191" s="9">
        <v>1</v>
      </c>
      <c r="E191" s="33" t="s">
        <v>764</v>
      </c>
      <c r="F191" s="33">
        <f>TRUNC(중기기초자료!E22*중기전역변수!C18,0)</f>
        <v>0</v>
      </c>
      <c r="G191" s="33">
        <f>TRUNC(F191*D191,0)</f>
        <v>0</v>
      </c>
      <c r="H191" s="9" t="s">
        <v>1297</v>
      </c>
      <c r="I191" s="9" t="s">
        <v>1297</v>
      </c>
      <c r="K191" s="9" t="s">
        <v>723</v>
      </c>
      <c r="L191" s="9" t="s">
        <v>1297</v>
      </c>
      <c r="M191" s="9" t="s">
        <v>735</v>
      </c>
      <c r="AG191" s="34" t="str">
        <f>HYPERLINK("#6","L086 →")</f>
        <v>L086 →</v>
      </c>
    </row>
    <row r="192" spans="2:7" ht="18" customHeight="1">
      <c r="B192" s="9" t="s">
        <v>1098</v>
      </c>
      <c r="G192" s="33">
        <f>TRUNC(G191,0)</f>
        <v>0</v>
      </c>
    </row>
    <row r="193" spans="2:7" ht="18" customHeight="1">
      <c r="B193" s="9" t="s">
        <v>135</v>
      </c>
      <c r="G193" s="35">
        <f>TRUNC(G187+G190+G192,2)</f>
        <v>0</v>
      </c>
    </row>
    <row r="194" spans="1:8" ht="18" customHeight="1">
      <c r="A194" s="4"/>
      <c r="B194" s="4"/>
      <c r="C194" s="4"/>
      <c r="D194" s="4"/>
      <c r="E194" s="4"/>
      <c r="F194" s="4"/>
      <c r="G194" s="4"/>
      <c r="H194" s="4"/>
    </row>
    <row r="195" spans="1:10" ht="18" customHeight="1">
      <c r="A195" s="4" t="s">
        <v>1149</v>
      </c>
      <c r="B195" s="4" t="s">
        <v>657</v>
      </c>
      <c r="C195" s="4"/>
      <c r="D195" s="4"/>
      <c r="E195" s="4"/>
      <c r="F195" s="4"/>
      <c r="G195" s="4"/>
      <c r="H195" s="4"/>
      <c r="I195" s="9" t="s">
        <v>1297</v>
      </c>
      <c r="J195" s="9" t="s">
        <v>934</v>
      </c>
    </row>
    <row r="196" spans="1:8" ht="18" customHeight="1">
      <c r="A196" s="4" t="s">
        <v>338</v>
      </c>
      <c r="B196" s="4" t="s">
        <v>421</v>
      </c>
      <c r="C196" s="4"/>
      <c r="D196" s="4"/>
      <c r="E196" s="4"/>
      <c r="F196" s="4"/>
      <c r="G196" s="4"/>
      <c r="H196" s="4"/>
    </row>
    <row r="197" spans="1:8" ht="18" customHeight="1">
      <c r="A197" s="32" t="s">
        <v>976</v>
      </c>
      <c r="B197" s="32"/>
      <c r="C197" s="32" t="s">
        <v>621</v>
      </c>
      <c r="D197" s="32" t="s">
        <v>42</v>
      </c>
      <c r="E197" s="32" t="s">
        <v>1219</v>
      </c>
      <c r="F197" s="32" t="s">
        <v>292</v>
      </c>
      <c r="G197" s="32" t="s">
        <v>185</v>
      </c>
      <c r="H197" s="32" t="s">
        <v>321</v>
      </c>
    </row>
    <row r="198" spans="1:33" ht="18" customHeight="1">
      <c r="A198" s="9" t="s">
        <v>93</v>
      </c>
      <c r="B198" s="9" t="s">
        <v>668</v>
      </c>
      <c r="C198" s="9" t="s">
        <v>687</v>
      </c>
      <c r="D198" s="9">
        <f>(1125+750+674)*10^-4</f>
        <v>0.2549</v>
      </c>
      <c r="E198" s="33" t="s">
        <v>172</v>
      </c>
      <c r="F198" s="33">
        <f>중기기초자료!F18</f>
        <v>0</v>
      </c>
      <c r="G198" s="33">
        <f>TRUNC(F198*D198,0)</f>
        <v>0</v>
      </c>
      <c r="H198" s="9" t="s">
        <v>1297</v>
      </c>
      <c r="I198" s="9" t="s">
        <v>1297</v>
      </c>
      <c r="K198" s="9" t="s">
        <v>166</v>
      </c>
      <c r="L198" s="9" t="s">
        <v>1297</v>
      </c>
      <c r="M198" s="9" t="s">
        <v>596</v>
      </c>
      <c r="N198" s="9" t="s">
        <v>921</v>
      </c>
      <c r="AG198" s="34" t="str">
        <f>HYPERLINK("#6","G34300400 →")</f>
        <v>G34300400 →</v>
      </c>
    </row>
    <row r="199" spans="2:7" ht="18" customHeight="1">
      <c r="B199" s="9" t="s">
        <v>1098</v>
      </c>
      <c r="G199" s="33">
        <f>TRUNC(G198,0)</f>
        <v>0</v>
      </c>
    </row>
    <row r="200" spans="1:33" ht="18" customHeight="1">
      <c r="A200" s="9" t="s">
        <v>884</v>
      </c>
      <c r="B200" s="9" t="s">
        <v>355</v>
      </c>
      <c r="C200" s="9" t="s">
        <v>1297</v>
      </c>
      <c r="D200" s="9">
        <v>1.2</v>
      </c>
      <c r="E200" s="35" t="s">
        <v>1275</v>
      </c>
      <c r="F200" s="35">
        <f>중기기초자료!D25</f>
        <v>0</v>
      </c>
      <c r="G200" s="35">
        <f>TRUNC(F200*D200,2)</f>
        <v>0</v>
      </c>
      <c r="H200" s="9" t="s">
        <v>1297</v>
      </c>
      <c r="I200" s="9" t="s">
        <v>1297</v>
      </c>
      <c r="K200" s="9" t="s">
        <v>450</v>
      </c>
      <c r="L200" s="9" t="s">
        <v>1297</v>
      </c>
      <c r="M200" s="9" t="s">
        <v>1099</v>
      </c>
      <c r="AG200" s="34" t="str">
        <f>HYPERLINK("#6","M9360003 →")</f>
        <v>M9360003 →</v>
      </c>
    </row>
    <row r="201" spans="2:33" ht="18" customHeight="1">
      <c r="B201" s="9" t="s">
        <v>103</v>
      </c>
      <c r="C201" s="9" t="s">
        <v>1297</v>
      </c>
      <c r="D201" s="9">
        <v>6</v>
      </c>
      <c r="E201" s="35" t="s">
        <v>522</v>
      </c>
      <c r="F201" s="35">
        <v>0</v>
      </c>
      <c r="G201" s="35">
        <f>TRUNC((G200)*D201/100,2)</f>
        <v>0</v>
      </c>
      <c r="H201" s="9" t="s">
        <v>1297</v>
      </c>
      <c r="I201" s="9" t="s">
        <v>1297</v>
      </c>
      <c r="K201" s="9" t="s">
        <v>139</v>
      </c>
      <c r="L201" s="9" t="s">
        <v>1297</v>
      </c>
      <c r="M201" s="9" t="s">
        <v>863</v>
      </c>
      <c r="N201" s="9" t="s">
        <v>1297</v>
      </c>
      <c r="AG201" s="34" t="str">
        <f>HYPERLINK("#6","F/M1 →")</f>
        <v>F/M1 →</v>
      </c>
    </row>
    <row r="202" spans="2:7" ht="18" customHeight="1">
      <c r="B202" s="9" t="s">
        <v>1098</v>
      </c>
      <c r="G202" s="35">
        <f>TRUNC(G200+G201,2)</f>
        <v>0</v>
      </c>
    </row>
    <row r="203" spans="1:33" ht="18" customHeight="1">
      <c r="A203" s="9" t="s">
        <v>506</v>
      </c>
      <c r="B203" s="9" t="s">
        <v>636</v>
      </c>
      <c r="C203" s="9" t="s">
        <v>673</v>
      </c>
      <c r="D203" s="9">
        <v>1</v>
      </c>
      <c r="E203" s="33" t="s">
        <v>764</v>
      </c>
      <c r="F203" s="33">
        <f>TRUNC(중기기초자료!E24*중기전역변수!C18,0)</f>
        <v>0</v>
      </c>
      <c r="G203" s="33">
        <f>TRUNC(F203*D203,0)</f>
        <v>0</v>
      </c>
      <c r="H203" s="9" t="s">
        <v>1297</v>
      </c>
      <c r="I203" s="9" t="s">
        <v>883</v>
      </c>
      <c r="K203" s="9" t="s">
        <v>723</v>
      </c>
      <c r="L203" s="9" t="s">
        <v>1297</v>
      </c>
      <c r="M203" s="9" t="s">
        <v>733</v>
      </c>
      <c r="AG203" s="34" t="str">
        <f>HYPERLINK("#6","L088 →")</f>
        <v>L088 →</v>
      </c>
    </row>
    <row r="204" spans="2:7" ht="18" customHeight="1">
      <c r="B204" s="9" t="s">
        <v>1098</v>
      </c>
      <c r="G204" s="33">
        <f>TRUNC(G203,0)</f>
        <v>0</v>
      </c>
    </row>
    <row r="205" spans="2:7" ht="18" customHeight="1">
      <c r="B205" s="9" t="s">
        <v>135</v>
      </c>
      <c r="G205" s="35">
        <f>TRUNC(G199+G202+G204,2)</f>
        <v>0</v>
      </c>
    </row>
    <row r="206" spans="1:8" ht="18" customHeight="1">
      <c r="A206" s="4"/>
      <c r="B206" s="4"/>
      <c r="C206" s="4"/>
      <c r="D206" s="4"/>
      <c r="E206" s="4"/>
      <c r="F206" s="4"/>
      <c r="G206" s="4"/>
      <c r="H206" s="4"/>
    </row>
    <row r="207" spans="1:10" ht="18" customHeight="1">
      <c r="A207" s="4" t="s">
        <v>1149</v>
      </c>
      <c r="B207" s="4" t="s">
        <v>656</v>
      </c>
      <c r="C207" s="4"/>
      <c r="D207" s="4"/>
      <c r="E207" s="4"/>
      <c r="F207" s="4"/>
      <c r="G207" s="4"/>
      <c r="H207" s="4"/>
      <c r="I207" s="9" t="s">
        <v>1297</v>
      </c>
      <c r="J207" s="9" t="s">
        <v>837</v>
      </c>
    </row>
    <row r="208" spans="1:8" ht="18" customHeight="1">
      <c r="A208" s="4" t="s">
        <v>338</v>
      </c>
      <c r="B208" s="4" t="s">
        <v>680</v>
      </c>
      <c r="C208" s="4"/>
      <c r="D208" s="4"/>
      <c r="E208" s="4"/>
      <c r="F208" s="4"/>
      <c r="G208" s="4"/>
      <c r="H208" s="4"/>
    </row>
    <row r="209" spans="1:8" ht="18" customHeight="1">
      <c r="A209" s="32" t="s">
        <v>976</v>
      </c>
      <c r="B209" s="32"/>
      <c r="C209" s="32" t="s">
        <v>621</v>
      </c>
      <c r="D209" s="32" t="s">
        <v>42</v>
      </c>
      <c r="E209" s="32" t="s">
        <v>1219</v>
      </c>
      <c r="F209" s="32" t="s">
        <v>292</v>
      </c>
      <c r="G209" s="32" t="s">
        <v>185</v>
      </c>
      <c r="H209" s="32" t="s">
        <v>321</v>
      </c>
    </row>
    <row r="210" spans="1:33" ht="18" customHeight="1">
      <c r="A210" s="9" t="s">
        <v>93</v>
      </c>
      <c r="B210" s="9" t="s">
        <v>567</v>
      </c>
      <c r="C210" s="9" t="s">
        <v>1125</v>
      </c>
      <c r="D210" s="9">
        <f>(4000+1333+1021)*10^-4</f>
        <v>0.6354000000000001</v>
      </c>
      <c r="E210" s="33" t="s">
        <v>172</v>
      </c>
      <c r="F210" s="33">
        <f>중기기초자료!F19</f>
        <v>0</v>
      </c>
      <c r="G210" s="33">
        <f>TRUNC(F210*D210,0)</f>
        <v>0</v>
      </c>
      <c r="H210" s="9" t="s">
        <v>1297</v>
      </c>
      <c r="I210" s="9" t="s">
        <v>1297</v>
      </c>
      <c r="K210" s="9" t="s">
        <v>166</v>
      </c>
      <c r="L210" s="9" t="s">
        <v>1297</v>
      </c>
      <c r="M210" s="9" t="s">
        <v>537</v>
      </c>
      <c r="N210" s="9" t="s">
        <v>706</v>
      </c>
      <c r="AG210" s="34" t="str">
        <f>HYPERLINK("#6","G44300400 →")</f>
        <v>G44300400 →</v>
      </c>
    </row>
    <row r="211" spans="2:7" ht="18" customHeight="1">
      <c r="B211" s="9" t="s">
        <v>1098</v>
      </c>
      <c r="G211" s="33">
        <f>TRUNC(G210,0)</f>
        <v>0</v>
      </c>
    </row>
    <row r="212" spans="1:33" ht="18" customHeight="1">
      <c r="A212" s="9" t="s">
        <v>884</v>
      </c>
      <c r="B212" s="9" t="s">
        <v>355</v>
      </c>
      <c r="C212" s="9" t="s">
        <v>1297</v>
      </c>
      <c r="D212" s="9">
        <v>5.6</v>
      </c>
      <c r="E212" s="35" t="s">
        <v>1275</v>
      </c>
      <c r="F212" s="35">
        <f>중기기초자료!D25</f>
        <v>0</v>
      </c>
      <c r="G212" s="35">
        <f>TRUNC(F212*D212,2)</f>
        <v>0</v>
      </c>
      <c r="H212" s="9" t="s">
        <v>1297</v>
      </c>
      <c r="I212" s="9" t="s">
        <v>1297</v>
      </c>
      <c r="K212" s="9" t="s">
        <v>450</v>
      </c>
      <c r="L212" s="9" t="s">
        <v>1297</v>
      </c>
      <c r="M212" s="9" t="s">
        <v>1099</v>
      </c>
      <c r="AG212" s="34" t="str">
        <f>HYPERLINK("#6","M9360003 →")</f>
        <v>M9360003 →</v>
      </c>
    </row>
    <row r="213" spans="2:33" ht="18" customHeight="1">
      <c r="B213" s="9" t="s">
        <v>103</v>
      </c>
      <c r="C213" s="9" t="s">
        <v>1297</v>
      </c>
      <c r="D213" s="9">
        <v>20</v>
      </c>
      <c r="E213" s="35" t="s">
        <v>522</v>
      </c>
      <c r="F213" s="35">
        <v>0</v>
      </c>
      <c r="G213" s="35">
        <f>TRUNC((G212)*D213/100,2)</f>
        <v>0</v>
      </c>
      <c r="H213" s="9" t="s">
        <v>1297</v>
      </c>
      <c r="I213" s="9" t="s">
        <v>1297</v>
      </c>
      <c r="K213" s="9" t="s">
        <v>139</v>
      </c>
      <c r="L213" s="9" t="s">
        <v>1297</v>
      </c>
      <c r="M213" s="9" t="s">
        <v>863</v>
      </c>
      <c r="N213" s="9" t="s">
        <v>1297</v>
      </c>
      <c r="AG213" s="34" t="str">
        <f>HYPERLINK("#6","F/M1 →")</f>
        <v>F/M1 →</v>
      </c>
    </row>
    <row r="214" spans="2:7" ht="18" customHeight="1">
      <c r="B214" s="9" t="s">
        <v>1098</v>
      </c>
      <c r="G214" s="35">
        <f>TRUNC(G212+G213,2)</f>
        <v>0</v>
      </c>
    </row>
    <row r="215" spans="1:33" ht="18" customHeight="1">
      <c r="A215" s="9" t="s">
        <v>506</v>
      </c>
      <c r="B215" s="9" t="s">
        <v>636</v>
      </c>
      <c r="C215" s="9" t="s">
        <v>303</v>
      </c>
      <c r="D215" s="9">
        <v>1</v>
      </c>
      <c r="E215" s="33" t="s">
        <v>764</v>
      </c>
      <c r="F215" s="33">
        <f>TRUNC(중기기초자료!E24*중기전역변수!C18,0)</f>
        <v>0</v>
      </c>
      <c r="G215" s="33">
        <f>TRUNC(F215*D215,0)</f>
        <v>0</v>
      </c>
      <c r="H215" s="9" t="s">
        <v>1297</v>
      </c>
      <c r="I215" s="9" t="s">
        <v>1297</v>
      </c>
      <c r="K215" s="9" t="s">
        <v>723</v>
      </c>
      <c r="L215" s="9" t="s">
        <v>1297</v>
      </c>
      <c r="M215" s="9" t="s">
        <v>733</v>
      </c>
      <c r="AG215" s="34" t="str">
        <f>HYPERLINK("#6","L088 →")</f>
        <v>L088 →</v>
      </c>
    </row>
    <row r="216" spans="2:7" ht="18" customHeight="1">
      <c r="B216" s="9" t="s">
        <v>1098</v>
      </c>
      <c r="G216" s="33">
        <f>TRUNC(G215,0)</f>
        <v>0</v>
      </c>
    </row>
    <row r="217" spans="2:7" ht="18" customHeight="1">
      <c r="B217" s="9" t="s">
        <v>135</v>
      </c>
      <c r="G217" s="35">
        <f>TRUNC(G211+G214+G216,2)</f>
        <v>0</v>
      </c>
    </row>
    <row r="218" spans="1:8" ht="18" customHeight="1">
      <c r="A218" s="4"/>
      <c r="B218" s="4"/>
      <c r="C218" s="4"/>
      <c r="D218" s="4"/>
      <c r="E218" s="4"/>
      <c r="F218" s="4"/>
      <c r="G218" s="4"/>
      <c r="H218" s="4"/>
    </row>
    <row r="219" spans="1:10" ht="18" customHeight="1">
      <c r="A219" s="4" t="s">
        <v>1149</v>
      </c>
      <c r="B219" s="4" t="s">
        <v>304</v>
      </c>
      <c r="C219" s="4"/>
      <c r="D219" s="4"/>
      <c r="E219" s="4"/>
      <c r="F219" s="4"/>
      <c r="G219" s="4"/>
      <c r="H219" s="4"/>
      <c r="I219" s="9" t="s">
        <v>1297</v>
      </c>
      <c r="J219" s="9" t="s">
        <v>29</v>
      </c>
    </row>
    <row r="220" spans="1:8" ht="18" customHeight="1">
      <c r="A220" s="4" t="s">
        <v>338</v>
      </c>
      <c r="B220" s="4" t="s">
        <v>836</v>
      </c>
      <c r="C220" s="4"/>
      <c r="D220" s="4"/>
      <c r="E220" s="4"/>
      <c r="F220" s="4"/>
      <c r="G220" s="4"/>
      <c r="H220" s="4"/>
    </row>
    <row r="221" spans="1:8" ht="18" customHeight="1">
      <c r="A221" s="32" t="s">
        <v>976</v>
      </c>
      <c r="B221" s="32"/>
      <c r="C221" s="32" t="s">
        <v>621</v>
      </c>
      <c r="D221" s="32" t="s">
        <v>42</v>
      </c>
      <c r="E221" s="32" t="s">
        <v>1219</v>
      </c>
      <c r="F221" s="32" t="s">
        <v>292</v>
      </c>
      <c r="G221" s="32" t="s">
        <v>185</v>
      </c>
      <c r="H221" s="32" t="s">
        <v>321</v>
      </c>
    </row>
    <row r="222" spans="1:33" ht="18" customHeight="1">
      <c r="A222" s="9" t="s">
        <v>93</v>
      </c>
      <c r="B222" s="9" t="s">
        <v>256</v>
      </c>
      <c r="C222" s="9" t="s">
        <v>788</v>
      </c>
      <c r="D222" s="9">
        <f>(818+636+659)*10^-4</f>
        <v>0.21130000000000002</v>
      </c>
      <c r="E222" s="33" t="s">
        <v>172</v>
      </c>
      <c r="F222" s="33">
        <f>중기기초자료!F20</f>
        <v>0</v>
      </c>
      <c r="G222" s="33">
        <f>TRUNC(F222*D222,0)</f>
        <v>0</v>
      </c>
      <c r="H222" s="9" t="s">
        <v>1297</v>
      </c>
      <c r="I222" s="9" t="s">
        <v>1297</v>
      </c>
      <c r="K222" s="9" t="s">
        <v>166</v>
      </c>
      <c r="L222" s="9" t="s">
        <v>1297</v>
      </c>
      <c r="M222" s="9" t="s">
        <v>1027</v>
      </c>
      <c r="N222" s="9" t="s">
        <v>36</v>
      </c>
      <c r="AG222" s="34" t="str">
        <f>HYPERLINK("#6","G72040055 →")</f>
        <v>G72040055 →</v>
      </c>
    </row>
    <row r="223" spans="2:7" ht="18" customHeight="1">
      <c r="B223" s="9" t="s">
        <v>1098</v>
      </c>
      <c r="G223" s="33">
        <f>TRUNC(G222,0)</f>
        <v>0</v>
      </c>
    </row>
    <row r="224" spans="1:33" ht="18" customHeight="1">
      <c r="A224" s="9" t="s">
        <v>884</v>
      </c>
      <c r="B224" s="9" t="s">
        <v>221</v>
      </c>
      <c r="C224" s="9" t="s">
        <v>1297</v>
      </c>
      <c r="D224" s="9">
        <v>9.3</v>
      </c>
      <c r="E224" s="35" t="s">
        <v>1275</v>
      </c>
      <c r="F224" s="35">
        <f>중기기초자료!D26</f>
        <v>0</v>
      </c>
      <c r="G224" s="35">
        <f>TRUNC(F224*D224,2)</f>
        <v>0</v>
      </c>
      <c r="H224" s="9" t="s">
        <v>1297</v>
      </c>
      <c r="I224" s="9" t="s">
        <v>1297</v>
      </c>
      <c r="K224" s="9" t="s">
        <v>450</v>
      </c>
      <c r="L224" s="9" t="s">
        <v>1297</v>
      </c>
      <c r="M224" s="9" t="s">
        <v>262</v>
      </c>
      <c r="AG224" s="34" t="str">
        <f>HYPERLINK("#6","M9366005 →")</f>
        <v>M9366005 →</v>
      </c>
    </row>
    <row r="225" spans="2:33" ht="18" customHeight="1">
      <c r="B225" s="9" t="s">
        <v>103</v>
      </c>
      <c r="C225" s="9" t="s">
        <v>1297</v>
      </c>
      <c r="D225" s="9">
        <v>30</v>
      </c>
      <c r="E225" s="35" t="s">
        <v>522</v>
      </c>
      <c r="F225" s="35">
        <v>0</v>
      </c>
      <c r="G225" s="35">
        <f>TRUNC((G224)*D225/100,2)</f>
        <v>0</v>
      </c>
      <c r="H225" s="9" t="s">
        <v>1297</v>
      </c>
      <c r="I225" s="9" t="s">
        <v>1297</v>
      </c>
      <c r="K225" s="9" t="s">
        <v>139</v>
      </c>
      <c r="L225" s="9" t="s">
        <v>1297</v>
      </c>
      <c r="M225" s="9" t="s">
        <v>863</v>
      </c>
      <c r="N225" s="9" t="s">
        <v>1297</v>
      </c>
      <c r="AG225" s="34" t="str">
        <f>HYPERLINK("#6","F/M1 →")</f>
        <v>F/M1 →</v>
      </c>
    </row>
    <row r="226" spans="2:7" ht="18" customHeight="1">
      <c r="B226" s="9" t="s">
        <v>1098</v>
      </c>
      <c r="G226" s="35">
        <f>TRUNC(G224+G225,2)</f>
        <v>0</v>
      </c>
    </row>
    <row r="227" spans="1:33" ht="18" customHeight="1">
      <c r="A227" s="9" t="s">
        <v>506</v>
      </c>
      <c r="B227" s="9" t="s">
        <v>98</v>
      </c>
      <c r="C227" s="9" t="s">
        <v>713</v>
      </c>
      <c r="D227" s="9">
        <v>1</v>
      </c>
      <c r="E227" s="33" t="s">
        <v>764</v>
      </c>
      <c r="F227" s="33">
        <f>TRUNC(중기기초자료!E23*중기전역변수!C18,0)</f>
        <v>0</v>
      </c>
      <c r="G227" s="33">
        <f>TRUNC(F227*D227,0)</f>
        <v>0</v>
      </c>
      <c r="H227" s="9" t="s">
        <v>1297</v>
      </c>
      <c r="I227" s="9" t="s">
        <v>1297</v>
      </c>
      <c r="K227" s="9" t="s">
        <v>723</v>
      </c>
      <c r="L227" s="9" t="s">
        <v>1297</v>
      </c>
      <c r="M227" s="9" t="s">
        <v>14</v>
      </c>
      <c r="AG227" s="34" t="str">
        <f>HYPERLINK("#6","L087 →")</f>
        <v>L087 →</v>
      </c>
    </row>
    <row r="228" spans="2:7" ht="18" customHeight="1">
      <c r="B228" s="9" t="s">
        <v>1098</v>
      </c>
      <c r="G228" s="33">
        <f>TRUNC(G227,0)</f>
        <v>0</v>
      </c>
    </row>
    <row r="229" spans="2:7" ht="18" customHeight="1">
      <c r="B229" s="9" t="s">
        <v>135</v>
      </c>
      <c r="G229" s="35">
        <f>TRUNC(G223+G226+G228,2)</f>
        <v>0</v>
      </c>
    </row>
    <row r="230" spans="1:8" ht="18" customHeight="1">
      <c r="A230" s="4"/>
      <c r="B230" s="4"/>
      <c r="C230" s="4"/>
      <c r="D230" s="4"/>
      <c r="E230" s="4"/>
      <c r="F230" s="4"/>
      <c r="G230" s="4"/>
      <c r="H230" s="4"/>
    </row>
    <row r="231" spans="1:10" ht="18" customHeight="1">
      <c r="A231" s="4" t="s">
        <v>1149</v>
      </c>
      <c r="B231" s="4" t="s">
        <v>176</v>
      </c>
      <c r="C231" s="4"/>
      <c r="D231" s="4"/>
      <c r="E231" s="4"/>
      <c r="F231" s="4"/>
      <c r="G231" s="4"/>
      <c r="H231" s="4"/>
      <c r="I231" s="9" t="s">
        <v>1297</v>
      </c>
      <c r="J231" s="9" t="s">
        <v>1231</v>
      </c>
    </row>
    <row r="232" spans="1:8" ht="18" customHeight="1">
      <c r="A232" s="4" t="s">
        <v>338</v>
      </c>
      <c r="B232" s="4" t="s">
        <v>198</v>
      </c>
      <c r="C232" s="4"/>
      <c r="D232" s="4"/>
      <c r="E232" s="4"/>
      <c r="F232" s="4"/>
      <c r="G232" s="4"/>
      <c r="H232" s="4"/>
    </row>
    <row r="233" spans="1:8" ht="18" customHeight="1">
      <c r="A233" s="32" t="s">
        <v>976</v>
      </c>
      <c r="B233" s="32"/>
      <c r="C233" s="32" t="s">
        <v>621</v>
      </c>
      <c r="D233" s="32" t="s">
        <v>42</v>
      </c>
      <c r="E233" s="32" t="s">
        <v>1219</v>
      </c>
      <c r="F233" s="32" t="s">
        <v>292</v>
      </c>
      <c r="G233" s="32" t="s">
        <v>185</v>
      </c>
      <c r="H233" s="32" t="s">
        <v>321</v>
      </c>
    </row>
    <row r="234" spans="1:33" ht="18" customHeight="1">
      <c r="A234" s="9" t="s">
        <v>93</v>
      </c>
      <c r="B234" s="9" t="s">
        <v>1084</v>
      </c>
      <c r="C234" s="9" t="s">
        <v>1164</v>
      </c>
      <c r="D234" s="9">
        <f>(1125+1000+674)*10^-4</f>
        <v>0.27990000000000004</v>
      </c>
      <c r="E234" s="33" t="s">
        <v>172</v>
      </c>
      <c r="F234" s="33">
        <f>중기기초자료!F21</f>
        <v>0</v>
      </c>
      <c r="G234" s="33">
        <f>TRUNC(F234*D234,0)</f>
        <v>0</v>
      </c>
      <c r="H234" s="9" t="s">
        <v>1297</v>
      </c>
      <c r="I234" s="9" t="s">
        <v>1297</v>
      </c>
      <c r="K234" s="9" t="s">
        <v>166</v>
      </c>
      <c r="L234" s="9" t="s">
        <v>1297</v>
      </c>
      <c r="M234" s="9" t="s">
        <v>294</v>
      </c>
      <c r="N234" s="9" t="s">
        <v>1238</v>
      </c>
      <c r="AG234" s="34" t="str">
        <f>HYPERLINK("#6","G72100485 →")</f>
        <v>G72100485 →</v>
      </c>
    </row>
    <row r="235" spans="2:7" ht="18" customHeight="1">
      <c r="B235" s="9" t="s">
        <v>1098</v>
      </c>
      <c r="G235" s="33">
        <f>TRUNC(G234,0)</f>
        <v>0</v>
      </c>
    </row>
    <row r="236" spans="1:33" ht="18" customHeight="1">
      <c r="A236" s="9" t="s">
        <v>884</v>
      </c>
      <c r="B236" s="9" t="s">
        <v>355</v>
      </c>
      <c r="C236" s="9" t="s">
        <v>1297</v>
      </c>
      <c r="D236" s="9">
        <v>1.3</v>
      </c>
      <c r="E236" s="35" t="s">
        <v>1275</v>
      </c>
      <c r="F236" s="35">
        <f>중기기초자료!D25</f>
        <v>0</v>
      </c>
      <c r="G236" s="35">
        <f>TRUNC(F236*D236,2)</f>
        <v>0</v>
      </c>
      <c r="H236" s="9" t="s">
        <v>1297</v>
      </c>
      <c r="I236" s="9" t="s">
        <v>1297</v>
      </c>
      <c r="K236" s="9" t="s">
        <v>1117</v>
      </c>
      <c r="L236" s="9" t="s">
        <v>1297</v>
      </c>
      <c r="M236" s="9" t="s">
        <v>1099</v>
      </c>
      <c r="AG236" s="34" t="str">
        <f>HYPERLINK("#6","M9360003 →")</f>
        <v>M9360003 →</v>
      </c>
    </row>
    <row r="237" spans="2:33" ht="18" customHeight="1">
      <c r="B237" s="9" t="s">
        <v>103</v>
      </c>
      <c r="C237" s="9" t="s">
        <v>1297</v>
      </c>
      <c r="D237" s="9">
        <v>20</v>
      </c>
      <c r="E237" s="35" t="s">
        <v>522</v>
      </c>
      <c r="F237" s="35">
        <v>0</v>
      </c>
      <c r="G237" s="35">
        <f>TRUNC((G236)*D237/100,2)</f>
        <v>0</v>
      </c>
      <c r="H237" s="9" t="s">
        <v>1297</v>
      </c>
      <c r="I237" s="9" t="s">
        <v>1297</v>
      </c>
      <c r="K237" s="9" t="s">
        <v>789</v>
      </c>
      <c r="L237" s="9" t="s">
        <v>1297</v>
      </c>
      <c r="M237" s="9" t="s">
        <v>863</v>
      </c>
      <c r="N237" s="9" t="s">
        <v>1297</v>
      </c>
      <c r="AG237" s="34" t="str">
        <f>HYPERLINK("#6","F/M1 →")</f>
        <v>F/M1 →</v>
      </c>
    </row>
    <row r="238" spans="2:7" ht="18" customHeight="1">
      <c r="B238" s="9" t="s">
        <v>1098</v>
      </c>
      <c r="G238" s="35">
        <f>TRUNC(G236+G237,2)</f>
        <v>0</v>
      </c>
    </row>
    <row r="239" ht="18" customHeight="1">
      <c r="A239" s="9" t="s">
        <v>506</v>
      </c>
    </row>
    <row r="240" ht="18" customHeight="1">
      <c r="B240" s="9" t="s">
        <v>1098</v>
      </c>
    </row>
    <row r="241" spans="2:7" ht="18" customHeight="1">
      <c r="B241" s="9" t="s">
        <v>135</v>
      </c>
      <c r="G241" s="35">
        <f>TRUNC(G235+G238+G240,2)</f>
        <v>0</v>
      </c>
    </row>
    <row r="242" spans="1:8" ht="18" customHeight="1">
      <c r="A242" s="4"/>
      <c r="B242" s="4"/>
      <c r="C242" s="4"/>
      <c r="D242" s="4"/>
      <c r="E242" s="4"/>
      <c r="F242" s="4"/>
      <c r="G242" s="4"/>
      <c r="H242" s="4"/>
    </row>
  </sheetData>
  <sheetProtection/>
  <printOptions/>
  <pageMargins left="0.31496062992125984" right="0.31496062992125984" top="1" bottom="0.5905511811023622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O28" sqref="O28"/>
    </sheetView>
  </sheetViews>
  <sheetFormatPr defaultColWidth="9.33203125" defaultRowHeight="18" customHeight="1"/>
  <cols>
    <col min="1" max="1" width="25" style="0" customWidth="1"/>
    <col min="2" max="2" width="20" style="0" customWidth="1"/>
    <col min="3" max="3" width="5" style="0" customWidth="1"/>
    <col min="4" max="7" width="15" style="0" customWidth="1"/>
    <col min="8" max="8" width="10" style="0" customWidth="1"/>
    <col min="9" max="10" width="0" style="0" hidden="1" customWidth="1"/>
  </cols>
  <sheetData>
    <row r="1" ht="18" customHeight="1">
      <c r="A1" t="s">
        <v>489</v>
      </c>
    </row>
    <row r="2" spans="1:8" ht="18" customHeight="1">
      <c r="A2" s="16" t="s">
        <v>902</v>
      </c>
      <c r="B2" s="17" t="s">
        <v>473</v>
      </c>
      <c r="C2" s="17" t="s">
        <v>1219</v>
      </c>
      <c r="D2" s="17" t="s">
        <v>884</v>
      </c>
      <c r="E2" s="17" t="s">
        <v>506</v>
      </c>
      <c r="F2" s="17" t="s">
        <v>93</v>
      </c>
      <c r="G2" s="17" t="s">
        <v>1261</v>
      </c>
      <c r="H2" s="19" t="s">
        <v>321</v>
      </c>
    </row>
    <row r="3" spans="1:10" ht="18" customHeight="1">
      <c r="A3" s="11" t="s">
        <v>387</v>
      </c>
      <c r="B3" s="2" t="s">
        <v>4</v>
      </c>
      <c r="C3" s="2" t="s">
        <v>172</v>
      </c>
      <c r="D3" s="28"/>
      <c r="E3" s="29"/>
      <c r="F3" s="29"/>
      <c r="G3" s="28"/>
      <c r="H3" s="20"/>
      <c r="J3" t="s">
        <v>1211</v>
      </c>
    </row>
    <row r="4" spans="1:10" ht="18" customHeight="1">
      <c r="A4" s="11" t="s">
        <v>379</v>
      </c>
      <c r="B4" s="2" t="s">
        <v>410</v>
      </c>
      <c r="C4" s="2" t="s">
        <v>172</v>
      </c>
      <c r="D4" s="28"/>
      <c r="E4" s="29"/>
      <c r="F4" s="29"/>
      <c r="G4" s="28"/>
      <c r="H4" s="20"/>
      <c r="J4" t="s">
        <v>924</v>
      </c>
    </row>
    <row r="5" spans="1:10" ht="18" customHeight="1">
      <c r="A5" s="11" t="s">
        <v>367</v>
      </c>
      <c r="B5" s="2" t="s">
        <v>1143</v>
      </c>
      <c r="C5" s="2" t="s">
        <v>172</v>
      </c>
      <c r="D5" s="28"/>
      <c r="E5" s="29"/>
      <c r="F5" s="29"/>
      <c r="G5" s="28"/>
      <c r="H5" s="20"/>
      <c r="J5" t="s">
        <v>467</v>
      </c>
    </row>
    <row r="6" spans="1:10" ht="18" customHeight="1">
      <c r="A6" s="11" t="s">
        <v>831</v>
      </c>
      <c r="B6" s="2" t="s">
        <v>972</v>
      </c>
      <c r="C6" s="2" t="s">
        <v>172</v>
      </c>
      <c r="D6" s="28"/>
      <c r="E6" s="29"/>
      <c r="F6" s="29"/>
      <c r="G6" s="28"/>
      <c r="H6" s="20"/>
      <c r="J6" t="s">
        <v>1209</v>
      </c>
    </row>
    <row r="7" spans="1:10" ht="18" customHeight="1">
      <c r="A7" s="11" t="s">
        <v>554</v>
      </c>
      <c r="B7" s="2" t="s">
        <v>511</v>
      </c>
      <c r="C7" s="2" t="s">
        <v>172</v>
      </c>
      <c r="D7" s="28"/>
      <c r="E7" s="29"/>
      <c r="F7" s="29"/>
      <c r="G7" s="28"/>
      <c r="H7" s="20"/>
      <c r="J7" t="s">
        <v>816</v>
      </c>
    </row>
    <row r="8" spans="1:10" ht="18" customHeight="1">
      <c r="A8" s="11" t="s">
        <v>554</v>
      </c>
      <c r="B8" s="2" t="s">
        <v>178</v>
      </c>
      <c r="C8" s="2" t="s">
        <v>172</v>
      </c>
      <c r="D8" s="28"/>
      <c r="E8" s="29"/>
      <c r="F8" s="29"/>
      <c r="G8" s="28"/>
      <c r="H8" s="20"/>
      <c r="J8" t="s">
        <v>194</v>
      </c>
    </row>
    <row r="9" spans="1:10" ht="18" customHeight="1">
      <c r="A9" s="11" t="s">
        <v>554</v>
      </c>
      <c r="B9" s="2" t="s">
        <v>876</v>
      </c>
      <c r="C9" s="2" t="s">
        <v>172</v>
      </c>
      <c r="D9" s="28"/>
      <c r="E9" s="29"/>
      <c r="F9" s="29"/>
      <c r="G9" s="28"/>
      <c r="H9" s="20"/>
      <c r="J9" t="s">
        <v>1108</v>
      </c>
    </row>
    <row r="10" spans="1:10" ht="18" customHeight="1">
      <c r="A10" s="11" t="s">
        <v>385</v>
      </c>
      <c r="B10" s="2" t="s">
        <v>404</v>
      </c>
      <c r="C10" s="2" t="s">
        <v>172</v>
      </c>
      <c r="D10" s="28"/>
      <c r="E10" s="29"/>
      <c r="F10" s="29"/>
      <c r="G10" s="28"/>
      <c r="H10" s="20"/>
      <c r="J10" t="s">
        <v>205</v>
      </c>
    </row>
    <row r="11" spans="1:10" ht="18" customHeight="1">
      <c r="A11" s="11" t="s">
        <v>1214</v>
      </c>
      <c r="B11" s="2" t="s">
        <v>336</v>
      </c>
      <c r="C11" s="2" t="s">
        <v>172</v>
      </c>
      <c r="D11" s="28"/>
      <c r="E11" s="29"/>
      <c r="F11" s="29"/>
      <c r="G11" s="28"/>
      <c r="H11" s="20"/>
      <c r="J11" t="s">
        <v>451</v>
      </c>
    </row>
    <row r="12" spans="1:10" ht="18" customHeight="1">
      <c r="A12" s="11" t="s">
        <v>794</v>
      </c>
      <c r="B12" s="2" t="s">
        <v>128</v>
      </c>
      <c r="C12" s="2" t="s">
        <v>172</v>
      </c>
      <c r="D12" s="28"/>
      <c r="E12" s="29"/>
      <c r="F12" s="29"/>
      <c r="G12" s="28"/>
      <c r="H12" s="20"/>
      <c r="J12" t="s">
        <v>1259</v>
      </c>
    </row>
    <row r="13" spans="1:10" ht="18" customHeight="1">
      <c r="A13" s="11" t="s">
        <v>587</v>
      </c>
      <c r="B13" s="2" t="s">
        <v>1088</v>
      </c>
      <c r="C13" s="2" t="s">
        <v>172</v>
      </c>
      <c r="D13" s="28"/>
      <c r="E13" s="29"/>
      <c r="F13" s="29"/>
      <c r="G13" s="28"/>
      <c r="H13" s="20"/>
      <c r="J13" t="s">
        <v>653</v>
      </c>
    </row>
    <row r="14" spans="1:10" ht="18" customHeight="1">
      <c r="A14" s="11" t="s">
        <v>436</v>
      </c>
      <c r="B14" s="2" t="s">
        <v>149</v>
      </c>
      <c r="C14" s="2" t="s">
        <v>172</v>
      </c>
      <c r="D14" s="28"/>
      <c r="E14" s="29"/>
      <c r="F14" s="29"/>
      <c r="G14" s="28"/>
      <c r="H14" s="20"/>
      <c r="J14" t="s">
        <v>959</v>
      </c>
    </row>
    <row r="15" spans="1:10" ht="18" customHeight="1">
      <c r="A15" s="11" t="s">
        <v>586</v>
      </c>
      <c r="B15" s="2" t="s">
        <v>1116</v>
      </c>
      <c r="C15" s="2" t="s">
        <v>172</v>
      </c>
      <c r="D15" s="28"/>
      <c r="E15" s="29"/>
      <c r="F15" s="29"/>
      <c r="G15" s="28"/>
      <c r="H15" s="20"/>
      <c r="J15" t="s">
        <v>61</v>
      </c>
    </row>
    <row r="16" spans="1:10" ht="18" customHeight="1">
      <c r="A16" s="11" t="s">
        <v>861</v>
      </c>
      <c r="B16" s="2" t="s">
        <v>149</v>
      </c>
      <c r="C16" s="2" t="s">
        <v>172</v>
      </c>
      <c r="D16" s="28"/>
      <c r="E16" s="29"/>
      <c r="F16" s="29"/>
      <c r="G16" s="28"/>
      <c r="H16" s="20"/>
      <c r="J16" t="s">
        <v>52</v>
      </c>
    </row>
    <row r="17" spans="1:10" ht="18" customHeight="1">
      <c r="A17" s="11" t="s">
        <v>351</v>
      </c>
      <c r="B17" s="2" t="s">
        <v>571</v>
      </c>
      <c r="C17" s="2" t="s">
        <v>172</v>
      </c>
      <c r="D17" s="28"/>
      <c r="E17" s="29"/>
      <c r="F17" s="29"/>
      <c r="G17" s="28"/>
      <c r="H17" s="20"/>
      <c r="J17" t="s">
        <v>1159</v>
      </c>
    </row>
    <row r="18" spans="1:10" ht="18" customHeight="1">
      <c r="A18" s="11" t="s">
        <v>668</v>
      </c>
      <c r="B18" s="2" t="s">
        <v>687</v>
      </c>
      <c r="C18" s="2" t="s">
        <v>172</v>
      </c>
      <c r="D18" s="28"/>
      <c r="E18" s="29"/>
      <c r="F18" s="29"/>
      <c r="G18" s="28"/>
      <c r="H18" s="20"/>
      <c r="J18" t="s">
        <v>596</v>
      </c>
    </row>
    <row r="19" spans="1:10" ht="18" customHeight="1">
      <c r="A19" s="11" t="s">
        <v>567</v>
      </c>
      <c r="B19" s="2" t="s">
        <v>1125</v>
      </c>
      <c r="C19" s="2" t="s">
        <v>172</v>
      </c>
      <c r="D19" s="28"/>
      <c r="E19" s="29"/>
      <c r="F19" s="29"/>
      <c r="G19" s="28"/>
      <c r="H19" s="20"/>
      <c r="J19" t="s">
        <v>537</v>
      </c>
    </row>
    <row r="20" spans="1:10" ht="18" customHeight="1">
      <c r="A20" s="11" t="s">
        <v>13</v>
      </c>
      <c r="B20" s="2" t="s">
        <v>788</v>
      </c>
      <c r="C20" s="2" t="s">
        <v>172</v>
      </c>
      <c r="D20" s="28"/>
      <c r="E20" s="29"/>
      <c r="F20" s="29"/>
      <c r="G20" s="28"/>
      <c r="H20" s="20"/>
      <c r="J20" t="s">
        <v>1027</v>
      </c>
    </row>
    <row r="21" spans="1:10" ht="18" customHeight="1">
      <c r="A21" s="11" t="s">
        <v>1084</v>
      </c>
      <c r="B21" s="2" t="s">
        <v>1164</v>
      </c>
      <c r="C21" s="2" t="s">
        <v>172</v>
      </c>
      <c r="D21" s="28"/>
      <c r="E21" s="29"/>
      <c r="F21" s="29"/>
      <c r="G21" s="28"/>
      <c r="H21" s="20"/>
      <c r="J21" t="s">
        <v>294</v>
      </c>
    </row>
    <row r="22" spans="1:10" ht="18" customHeight="1">
      <c r="A22" s="11" t="s">
        <v>293</v>
      </c>
      <c r="B22" s="2" t="s">
        <v>1297</v>
      </c>
      <c r="C22" s="2" t="s">
        <v>764</v>
      </c>
      <c r="D22" s="28"/>
      <c r="E22" s="29"/>
      <c r="F22" s="29"/>
      <c r="G22" s="28"/>
      <c r="H22" s="20"/>
      <c r="I22" t="s">
        <v>1248</v>
      </c>
      <c r="J22" t="s">
        <v>735</v>
      </c>
    </row>
    <row r="23" spans="1:10" ht="18" customHeight="1">
      <c r="A23" s="11" t="s">
        <v>98</v>
      </c>
      <c r="B23" s="2" t="s">
        <v>1297</v>
      </c>
      <c r="C23" s="2" t="s">
        <v>764</v>
      </c>
      <c r="D23" s="28"/>
      <c r="E23" s="29"/>
      <c r="F23" s="29"/>
      <c r="G23" s="28"/>
      <c r="H23" s="20"/>
      <c r="I23" t="s">
        <v>285</v>
      </c>
      <c r="J23" t="s">
        <v>14</v>
      </c>
    </row>
    <row r="24" spans="1:10" ht="18" customHeight="1">
      <c r="A24" s="11" t="s">
        <v>636</v>
      </c>
      <c r="B24" s="2" t="s">
        <v>1297</v>
      </c>
      <c r="C24" s="2" t="s">
        <v>764</v>
      </c>
      <c r="D24" s="28"/>
      <c r="E24" s="29"/>
      <c r="F24" s="29"/>
      <c r="G24" s="28"/>
      <c r="H24" s="20"/>
      <c r="I24" t="s">
        <v>883</v>
      </c>
      <c r="J24" t="s">
        <v>733</v>
      </c>
    </row>
    <row r="25" spans="1:10" ht="18" customHeight="1">
      <c r="A25" s="11" t="s">
        <v>355</v>
      </c>
      <c r="B25" s="2" t="s">
        <v>1297</v>
      </c>
      <c r="C25" s="2" t="s">
        <v>1275</v>
      </c>
      <c r="D25" s="28"/>
      <c r="E25" s="29"/>
      <c r="F25" s="29"/>
      <c r="G25" s="28"/>
      <c r="H25" s="20"/>
      <c r="J25" t="s">
        <v>1099</v>
      </c>
    </row>
    <row r="26" spans="1:10" ht="18" customHeight="1">
      <c r="A26" s="13" t="s">
        <v>221</v>
      </c>
      <c r="B26" s="14" t="s">
        <v>1297</v>
      </c>
      <c r="C26" s="14" t="s">
        <v>1275</v>
      </c>
      <c r="D26" s="30"/>
      <c r="E26" s="31"/>
      <c r="F26" s="31"/>
      <c r="G26" s="30"/>
      <c r="H26" s="21"/>
      <c r="J26" t="s">
        <v>262</v>
      </c>
    </row>
  </sheetData>
  <sheetProtection/>
  <printOptions/>
  <pageMargins left="0.31496062992125984" right="0.31496062992125984" top="1" bottom="0.5905511811023622" header="0.5" footer="0.5"/>
  <pageSetup horizontalDpi="600" verticalDpi="600" orientation="portrait" paperSize="9"/>
  <headerFooter alignWithMargins="0">
    <oddHeader>&amp;RPage : &amp;P/&amp;N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D3" sqref="D3:D30"/>
    </sheetView>
  </sheetViews>
  <sheetFormatPr defaultColWidth="9.33203125" defaultRowHeight="18" customHeight="1"/>
  <cols>
    <col min="1" max="1" width="30" style="0" customWidth="1"/>
    <col min="2" max="2" width="25" style="0" customWidth="1"/>
    <col min="3" max="3" width="10" style="0" customWidth="1"/>
    <col min="4" max="4" width="20" style="0" customWidth="1"/>
    <col min="5" max="5" width="30" style="0" customWidth="1"/>
    <col min="6" max="13" width="0" style="0" hidden="1" customWidth="1"/>
  </cols>
  <sheetData>
    <row r="1" ht="18" customHeight="1">
      <c r="A1" t="s">
        <v>574</v>
      </c>
    </row>
    <row r="2" spans="1:5" ht="18" customHeight="1">
      <c r="A2" s="16" t="s">
        <v>902</v>
      </c>
      <c r="B2" s="17" t="s">
        <v>473</v>
      </c>
      <c r="C2" s="17" t="s">
        <v>1219</v>
      </c>
      <c r="D2" s="17" t="s">
        <v>674</v>
      </c>
      <c r="E2" s="19" t="s">
        <v>321</v>
      </c>
    </row>
    <row r="3" spans="1:8" ht="18" customHeight="1">
      <c r="A3" s="11" t="s">
        <v>1186</v>
      </c>
      <c r="B3" s="2" t="s">
        <v>233</v>
      </c>
      <c r="C3" s="2" t="s">
        <v>1282</v>
      </c>
      <c r="D3" s="25"/>
      <c r="E3" s="20" t="s">
        <v>295</v>
      </c>
      <c r="G3" t="s">
        <v>1191</v>
      </c>
    </row>
    <row r="4" spans="1:8" ht="18" customHeight="1">
      <c r="A4" s="11" t="s">
        <v>1276</v>
      </c>
      <c r="B4" s="2" t="s">
        <v>59</v>
      </c>
      <c r="C4" s="2" t="s">
        <v>1263</v>
      </c>
      <c r="D4" s="25"/>
      <c r="E4" s="20" t="s">
        <v>1171</v>
      </c>
      <c r="G4" t="s">
        <v>1241</v>
      </c>
    </row>
    <row r="5" spans="1:8" ht="18" customHeight="1">
      <c r="A5" s="11" t="s">
        <v>967</v>
      </c>
      <c r="B5" s="2" t="s">
        <v>1144</v>
      </c>
      <c r="C5" s="2" t="s">
        <v>1282</v>
      </c>
      <c r="D5" s="25"/>
      <c r="E5" s="20" t="s">
        <v>1079</v>
      </c>
      <c r="G5" t="s">
        <v>684</v>
      </c>
    </row>
    <row r="6" spans="1:8" ht="18" customHeight="1">
      <c r="A6" s="11" t="s">
        <v>681</v>
      </c>
      <c r="B6" s="2" t="s">
        <v>986</v>
      </c>
      <c r="C6" s="2" t="s">
        <v>1026</v>
      </c>
      <c r="D6" s="25"/>
      <c r="E6" s="20" t="s">
        <v>109</v>
      </c>
      <c r="G6" t="s">
        <v>6</v>
      </c>
      <c r="H6" t="s">
        <v>282</v>
      </c>
    </row>
    <row r="7" spans="1:8" ht="18" customHeight="1">
      <c r="A7" s="11" t="s">
        <v>681</v>
      </c>
      <c r="B7" s="2" t="s">
        <v>575</v>
      </c>
      <c r="C7" s="2" t="s">
        <v>1026</v>
      </c>
      <c r="D7" s="25"/>
      <c r="E7" s="20" t="s">
        <v>109</v>
      </c>
      <c r="G7" t="s">
        <v>709</v>
      </c>
      <c r="H7" t="s">
        <v>282</v>
      </c>
    </row>
    <row r="8" spans="1:8" ht="18" customHeight="1">
      <c r="A8" s="11" t="s">
        <v>681</v>
      </c>
      <c r="B8" s="2" t="s">
        <v>448</v>
      </c>
      <c r="C8" s="2" t="s">
        <v>1026</v>
      </c>
      <c r="D8" s="25"/>
      <c r="E8" s="20" t="s">
        <v>109</v>
      </c>
      <c r="G8" t="s">
        <v>960</v>
      </c>
      <c r="H8" t="s">
        <v>282</v>
      </c>
    </row>
    <row r="9" spans="1:8" ht="18" customHeight="1">
      <c r="A9" s="11" t="s">
        <v>468</v>
      </c>
      <c r="B9" s="2" t="s">
        <v>1234</v>
      </c>
      <c r="C9" s="2" t="s">
        <v>1263</v>
      </c>
      <c r="D9" s="25"/>
      <c r="E9" s="20" t="s">
        <v>1003</v>
      </c>
      <c r="G9" t="s">
        <v>1058</v>
      </c>
      <c r="H9" t="s">
        <v>1058</v>
      </c>
    </row>
    <row r="10" spans="1:8" ht="18" customHeight="1">
      <c r="A10" s="11" t="s">
        <v>906</v>
      </c>
      <c r="B10" s="2" t="s">
        <v>23</v>
      </c>
      <c r="C10" s="2" t="s">
        <v>1263</v>
      </c>
      <c r="D10" s="25"/>
      <c r="E10" s="20" t="s">
        <v>368</v>
      </c>
      <c r="G10" t="s">
        <v>192</v>
      </c>
    </row>
    <row r="11" spans="1:8" ht="18" customHeight="1">
      <c r="A11" s="11" t="s">
        <v>556</v>
      </c>
      <c r="B11" s="2" t="s">
        <v>427</v>
      </c>
      <c r="C11" s="2" t="s">
        <v>588</v>
      </c>
      <c r="D11" s="25"/>
      <c r="E11" s="20" t="s">
        <v>912</v>
      </c>
      <c r="G11" t="s">
        <v>1173</v>
      </c>
    </row>
    <row r="12" spans="1:8" ht="18" customHeight="1">
      <c r="A12" s="11" t="s">
        <v>370</v>
      </c>
      <c r="B12" s="2" t="s">
        <v>1096</v>
      </c>
      <c r="C12" s="2" t="s">
        <v>698</v>
      </c>
      <c r="D12" s="25"/>
      <c r="E12" s="20" t="s">
        <v>1224</v>
      </c>
      <c r="G12" t="s">
        <v>995</v>
      </c>
      <c r="H12" t="s">
        <v>995</v>
      </c>
    </row>
    <row r="13" spans="1:8" ht="18" customHeight="1">
      <c r="A13" s="11" t="s">
        <v>1101</v>
      </c>
      <c r="B13" s="2" t="s">
        <v>37</v>
      </c>
      <c r="C13" s="2" t="s">
        <v>1282</v>
      </c>
      <c r="D13" s="25"/>
      <c r="E13" s="20" t="s">
        <v>226</v>
      </c>
      <c r="F13" t="s">
        <v>245</v>
      </c>
      <c r="G13" t="s">
        <v>9</v>
      </c>
      <c r="H13" t="s">
        <v>702</v>
      </c>
    </row>
    <row r="14" spans="1:8" ht="18" customHeight="1">
      <c r="A14" s="11" t="s">
        <v>71</v>
      </c>
      <c r="B14" s="2" t="s">
        <v>217</v>
      </c>
      <c r="C14" s="2" t="s">
        <v>917</v>
      </c>
      <c r="D14" s="25"/>
      <c r="E14" s="20" t="s">
        <v>1233</v>
      </c>
      <c r="G14" t="s">
        <v>152</v>
      </c>
      <c r="H14" t="s">
        <v>152</v>
      </c>
    </row>
    <row r="15" spans="1:8" ht="18" customHeight="1">
      <c r="A15" s="11" t="s">
        <v>86</v>
      </c>
      <c r="B15" s="2" t="s">
        <v>1100</v>
      </c>
      <c r="C15" s="2" t="s">
        <v>1282</v>
      </c>
      <c r="D15" s="25"/>
      <c r="E15" s="20" t="s">
        <v>638</v>
      </c>
      <c r="G15" t="s">
        <v>871</v>
      </c>
    </row>
    <row r="16" spans="1:8" ht="18" customHeight="1">
      <c r="A16" s="11" t="s">
        <v>86</v>
      </c>
      <c r="B16" s="2" t="s">
        <v>1262</v>
      </c>
      <c r="C16" s="2" t="s">
        <v>1282</v>
      </c>
      <c r="D16" s="25"/>
      <c r="E16" s="20" t="s">
        <v>638</v>
      </c>
      <c r="G16" t="s">
        <v>121</v>
      </c>
    </row>
    <row r="17" spans="1:8" ht="18" customHeight="1">
      <c r="A17" s="11" t="s">
        <v>1056</v>
      </c>
      <c r="B17" s="2" t="s">
        <v>1124</v>
      </c>
      <c r="C17" s="2" t="s">
        <v>1263</v>
      </c>
      <c r="D17" s="25"/>
      <c r="E17" s="20" t="s">
        <v>637</v>
      </c>
      <c r="G17" t="s">
        <v>16</v>
      </c>
    </row>
    <row r="18" spans="1:8" ht="18" customHeight="1">
      <c r="A18" s="11" t="s">
        <v>1007</v>
      </c>
      <c r="B18" s="2" t="s">
        <v>1297</v>
      </c>
      <c r="C18" s="2" t="s">
        <v>1263</v>
      </c>
      <c r="D18" s="25"/>
      <c r="E18" s="20" t="s">
        <v>1260</v>
      </c>
      <c r="G18" t="s">
        <v>507</v>
      </c>
    </row>
    <row r="19" spans="1:8" ht="18" customHeight="1">
      <c r="A19" s="11" t="s">
        <v>908</v>
      </c>
      <c r="B19" s="2" t="s">
        <v>609</v>
      </c>
      <c r="C19" s="2" t="s">
        <v>1263</v>
      </c>
      <c r="D19" s="25"/>
      <c r="E19" s="20" t="s">
        <v>637</v>
      </c>
      <c r="G19" t="s">
        <v>208</v>
      </c>
    </row>
    <row r="20" spans="1:8" ht="18" customHeight="1">
      <c r="A20" s="11" t="s">
        <v>833</v>
      </c>
      <c r="B20" s="2" t="s">
        <v>894</v>
      </c>
      <c r="C20" s="2" t="s">
        <v>917</v>
      </c>
      <c r="D20" s="25"/>
      <c r="E20" s="20" t="s">
        <v>286</v>
      </c>
      <c r="G20" t="s">
        <v>400</v>
      </c>
    </row>
    <row r="21" spans="1:8" ht="18" customHeight="1">
      <c r="A21" s="11" t="s">
        <v>606</v>
      </c>
      <c r="B21" s="2" t="s">
        <v>905</v>
      </c>
      <c r="C21" s="2" t="s">
        <v>517</v>
      </c>
      <c r="D21" s="25"/>
      <c r="E21" s="20" t="s">
        <v>946</v>
      </c>
      <c r="G21" t="s">
        <v>693</v>
      </c>
    </row>
    <row r="22" spans="1:8" ht="18" customHeight="1">
      <c r="A22" s="11" t="s">
        <v>1178</v>
      </c>
      <c r="B22" s="2" t="s">
        <v>243</v>
      </c>
      <c r="C22" s="2" t="s">
        <v>1282</v>
      </c>
      <c r="D22" s="25"/>
      <c r="E22" s="20" t="s">
        <v>597</v>
      </c>
      <c r="G22" t="s">
        <v>555</v>
      </c>
    </row>
    <row r="23" spans="1:8" ht="18" customHeight="1">
      <c r="A23" s="11" t="s">
        <v>1216</v>
      </c>
      <c r="B23" s="2" t="s">
        <v>243</v>
      </c>
      <c r="C23" s="2" t="s">
        <v>1282</v>
      </c>
      <c r="D23" s="25"/>
      <c r="E23" s="20" t="s">
        <v>94</v>
      </c>
      <c r="G23" t="s">
        <v>475</v>
      </c>
    </row>
    <row r="24" spans="1:8" ht="18" customHeight="1">
      <c r="A24" s="11" t="s">
        <v>1104</v>
      </c>
      <c r="B24" s="2" t="s">
        <v>1245</v>
      </c>
      <c r="C24" s="2" t="s">
        <v>232</v>
      </c>
      <c r="D24" s="25"/>
      <c r="E24" s="20" t="s">
        <v>471</v>
      </c>
      <c r="G24" t="s">
        <v>1118</v>
      </c>
    </row>
    <row r="25" spans="1:8" ht="18" customHeight="1">
      <c r="A25" s="11" t="s">
        <v>344</v>
      </c>
      <c r="B25" s="2" t="s">
        <v>605</v>
      </c>
      <c r="C25" s="2" t="s">
        <v>1282</v>
      </c>
      <c r="D25" s="25"/>
      <c r="E25" s="20" t="s">
        <v>210</v>
      </c>
      <c r="G25" t="s">
        <v>662</v>
      </c>
      <c r="H25" t="s">
        <v>110</v>
      </c>
    </row>
    <row r="26" spans="1:8" ht="18" customHeight="1">
      <c r="A26" s="11" t="s">
        <v>1068</v>
      </c>
      <c r="B26" s="2" t="s">
        <v>1226</v>
      </c>
      <c r="C26" s="2" t="s">
        <v>937</v>
      </c>
      <c r="D26" s="25"/>
      <c r="E26" s="20" t="s">
        <v>481</v>
      </c>
      <c r="G26" t="s">
        <v>644</v>
      </c>
    </row>
    <row r="27" spans="1:8" ht="18" customHeight="1">
      <c r="A27" s="11" t="s">
        <v>602</v>
      </c>
      <c r="B27" s="2" t="s">
        <v>560</v>
      </c>
      <c r="C27" s="2" t="s">
        <v>1282</v>
      </c>
      <c r="D27" s="25"/>
      <c r="E27" s="20" t="s">
        <v>415</v>
      </c>
      <c r="G27" t="s">
        <v>211</v>
      </c>
    </row>
    <row r="28" spans="1:8" ht="18" customHeight="1">
      <c r="A28" s="11" t="s">
        <v>891</v>
      </c>
      <c r="B28" s="2" t="s">
        <v>260</v>
      </c>
      <c r="C28" s="2" t="s">
        <v>875</v>
      </c>
      <c r="D28" s="25"/>
      <c r="E28" s="20" t="s">
        <v>1232</v>
      </c>
      <c r="G28" t="s">
        <v>817</v>
      </c>
    </row>
    <row r="29" spans="1:8" ht="18" customHeight="1">
      <c r="A29" s="11" t="s">
        <v>1295</v>
      </c>
      <c r="B29" s="2" t="s">
        <v>983</v>
      </c>
      <c r="C29" s="2" t="s">
        <v>875</v>
      </c>
      <c r="D29" s="25"/>
      <c r="E29" s="20" t="s">
        <v>1212</v>
      </c>
      <c r="G29" t="s">
        <v>1156</v>
      </c>
    </row>
    <row r="30" spans="1:8" ht="18" customHeight="1">
      <c r="A30" s="13" t="s">
        <v>333</v>
      </c>
      <c r="B30" s="14" t="s">
        <v>1210</v>
      </c>
      <c r="C30" s="14" t="s">
        <v>625</v>
      </c>
      <c r="D30" s="26"/>
      <c r="E30" s="21" t="s">
        <v>1232</v>
      </c>
      <c r="G30" t="s">
        <v>1167</v>
      </c>
    </row>
  </sheetData>
  <sheetProtection/>
  <printOptions/>
  <pageMargins left="0.31496062992125984" right="0.31496062992125984" top="1" bottom="0.5905511811023622" header="0.5" footer="0.5"/>
  <pageSetup horizontalDpi="600" verticalDpi="600" orientation="portrait" paperSize="9"/>
  <headerFooter alignWithMargins="0">
    <oddHeader>&amp;RPage : &amp;P/&amp;N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D3" sqref="D3:D10"/>
    </sheetView>
  </sheetViews>
  <sheetFormatPr defaultColWidth="9.33203125" defaultRowHeight="18" customHeight="1"/>
  <cols>
    <col min="1" max="1" width="30" style="0" customWidth="1"/>
    <col min="2" max="2" width="25" style="0" customWidth="1"/>
    <col min="3" max="3" width="10" style="0" customWidth="1"/>
    <col min="4" max="4" width="20" style="0" customWidth="1"/>
    <col min="5" max="5" width="30" style="0" customWidth="1"/>
    <col min="6" max="8" width="0" style="0" hidden="1" customWidth="1"/>
  </cols>
  <sheetData>
    <row r="1" ht="18" customHeight="1">
      <c r="A1" t="s">
        <v>1194</v>
      </c>
    </row>
    <row r="2" spans="1:5" ht="18" customHeight="1">
      <c r="A2" s="16" t="s">
        <v>902</v>
      </c>
      <c r="B2" s="17" t="s">
        <v>473</v>
      </c>
      <c r="C2" s="17" t="s">
        <v>1219</v>
      </c>
      <c r="D2" s="17" t="s">
        <v>674</v>
      </c>
      <c r="E2" s="19" t="s">
        <v>321</v>
      </c>
    </row>
    <row r="3" spans="1:8" ht="18" customHeight="1">
      <c r="A3" s="11" t="s">
        <v>444</v>
      </c>
      <c r="B3" s="2" t="s">
        <v>1297</v>
      </c>
      <c r="C3" s="2" t="s">
        <v>764</v>
      </c>
      <c r="D3" s="25"/>
      <c r="E3" s="20" t="s">
        <v>1297</v>
      </c>
      <c r="F3" t="s">
        <v>708</v>
      </c>
      <c r="G3" t="s">
        <v>888</v>
      </c>
      <c r="H3" t="s">
        <v>888</v>
      </c>
    </row>
    <row r="4" spans="1:8" ht="18" customHeight="1">
      <c r="A4" s="11" t="s">
        <v>867</v>
      </c>
      <c r="B4" s="2" t="s">
        <v>1297</v>
      </c>
      <c r="C4" s="2" t="s">
        <v>764</v>
      </c>
      <c r="D4" s="25"/>
      <c r="E4" s="20" t="s">
        <v>1297</v>
      </c>
      <c r="F4" t="s">
        <v>472</v>
      </c>
      <c r="G4" t="s">
        <v>369</v>
      </c>
      <c r="H4" t="s">
        <v>369</v>
      </c>
    </row>
    <row r="5" spans="1:8" ht="18" customHeight="1">
      <c r="A5" s="11" t="s">
        <v>1285</v>
      </c>
      <c r="B5" s="2" t="s">
        <v>1297</v>
      </c>
      <c r="C5" s="2" t="s">
        <v>764</v>
      </c>
      <c r="D5" s="25"/>
      <c r="E5" s="20" t="s">
        <v>1297</v>
      </c>
      <c r="F5" t="s">
        <v>1115</v>
      </c>
      <c r="G5" t="s">
        <v>832</v>
      </c>
      <c r="H5" t="s">
        <v>832</v>
      </c>
    </row>
    <row r="6" spans="1:8" ht="18" customHeight="1">
      <c r="A6" s="11" t="s">
        <v>376</v>
      </c>
      <c r="B6" s="2" t="s">
        <v>1297</v>
      </c>
      <c r="C6" s="2" t="s">
        <v>764</v>
      </c>
      <c r="D6" s="25"/>
      <c r="E6" s="20" t="s">
        <v>1297</v>
      </c>
      <c r="F6" t="s">
        <v>150</v>
      </c>
      <c r="G6" t="s">
        <v>129</v>
      </c>
      <c r="H6" t="s">
        <v>129</v>
      </c>
    </row>
    <row r="7" spans="1:8" ht="18" customHeight="1">
      <c r="A7" s="11" t="s">
        <v>376</v>
      </c>
      <c r="B7" s="2" t="s">
        <v>957</v>
      </c>
      <c r="C7" s="2" t="s">
        <v>764</v>
      </c>
      <c r="D7" s="25"/>
      <c r="E7" s="20" t="s">
        <v>1297</v>
      </c>
      <c r="G7" t="s">
        <v>707</v>
      </c>
      <c r="H7" t="s">
        <v>548</v>
      </c>
    </row>
    <row r="8" spans="1:8" ht="18" customHeight="1">
      <c r="A8" s="11" t="s">
        <v>391</v>
      </c>
      <c r="B8" s="2" t="s">
        <v>1297</v>
      </c>
      <c r="C8" s="2" t="s">
        <v>764</v>
      </c>
      <c r="D8" s="25"/>
      <c r="E8" s="20" t="s">
        <v>1297</v>
      </c>
      <c r="F8" t="s">
        <v>1082</v>
      </c>
      <c r="G8" t="s">
        <v>296</v>
      </c>
      <c r="H8" t="s">
        <v>296</v>
      </c>
    </row>
    <row r="9" spans="1:8" ht="18" customHeight="1">
      <c r="A9" s="11" t="s">
        <v>62</v>
      </c>
      <c r="B9" s="2" t="s">
        <v>1297</v>
      </c>
      <c r="C9" s="2" t="s">
        <v>764</v>
      </c>
      <c r="D9" s="25"/>
      <c r="E9" s="20" t="s">
        <v>1297</v>
      </c>
      <c r="F9" t="s">
        <v>786</v>
      </c>
      <c r="G9" t="s">
        <v>916</v>
      </c>
      <c r="H9" t="s">
        <v>916</v>
      </c>
    </row>
    <row r="10" spans="1:8" ht="18" customHeight="1">
      <c r="A10" s="13" t="s">
        <v>92</v>
      </c>
      <c r="B10" s="14" t="s">
        <v>1297</v>
      </c>
      <c r="C10" s="14" t="s">
        <v>764</v>
      </c>
      <c r="D10" s="26"/>
      <c r="E10" s="21" t="s">
        <v>1297</v>
      </c>
      <c r="F10" t="s">
        <v>365</v>
      </c>
      <c r="G10" t="s">
        <v>236</v>
      </c>
      <c r="H10" t="s">
        <v>236</v>
      </c>
    </row>
  </sheetData>
  <sheetProtection/>
  <printOptions/>
  <pageMargins left="0.31496062992125984" right="0.31496062992125984" top="1" bottom="0.5905511811023622" header="0.5" footer="0.5"/>
  <pageSetup horizontalDpi="600" verticalDpi="600" orientation="portrait" paperSize="9"/>
  <headerFooter alignWithMargins="0">
    <oddHeader>&amp;RPage :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2022-08-11T00:25:07Z</dcterms:created>
  <dcterms:modified xsi:type="dcterms:W3CDTF">2022-08-11T00:36:16Z</dcterms:modified>
  <cp:category/>
  <cp:version/>
  <cp:contentType/>
  <cp:contentStatus/>
</cp:coreProperties>
</file>